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vsd" ContentType="application/vnd.visio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44"/>
  </bookViews>
  <sheets>
    <sheet name="ИД" sheetId="1" r:id="rId1"/>
    <sheet name="ССРтек" sheetId="2" r:id="rId2"/>
    <sheet name="ОС-01-01тек" sheetId="24" r:id="rId3"/>
    <sheet name="ОС-06-01тек" sheetId="21" state="hidden" r:id="rId4"/>
    <sheet name="ССРбаз" sheetId="7" r:id="rId5"/>
    <sheet name="ОС-01-01" sheetId="23" r:id="rId6"/>
    <sheet name="ОС-06-01" sheetId="17" state="hidden" r:id="rId7"/>
    <sheet name="в ПЗ" sheetId="8" r:id="rId8"/>
  </sheets>
  <definedNames>
    <definedName name="Print_Area" localSheetId="7">'в ПЗ'!$A$1:$C$10</definedName>
    <definedName name="Print_Area" localSheetId="0">ИД!$A$1:$E$30</definedName>
    <definedName name="Print_Area" localSheetId="6">'ОС-06-01'!$B$1:$I$31</definedName>
    <definedName name="Print_Area" localSheetId="3">'ОС-06-01тек'!$B$1:$I$31</definedName>
    <definedName name="Print_Area" localSheetId="4">ССРбаз!$B$1:$I$63</definedName>
    <definedName name="Print_Area" localSheetId="1">ССРтек!$B$1:$I$69</definedName>
    <definedName name="Print_Titles" localSheetId="6">'ОС-06-01'!#REF!</definedName>
    <definedName name="Print_Titles" localSheetId="3">'ОС-06-01тек'!#REF!</definedName>
    <definedName name="Print_Titles" localSheetId="4">ССРбаз!$17:$17</definedName>
    <definedName name="Print_Titles" localSheetId="1">ССРтек!$17:$17</definedName>
    <definedName name="_xlnm.Print_Titles" localSheetId="4">ССРбаз!$17:$17</definedName>
    <definedName name="_xlnm.Print_Titles" localSheetId="1">ССРтек!$17:$17</definedName>
    <definedName name="_xlnm.Print_Area" localSheetId="7">'в ПЗ'!$A$1:$C$13</definedName>
    <definedName name="_xlnm.Print_Area" localSheetId="0">ИД!$A$1:$E$36</definedName>
    <definedName name="_xlnm.Print_Area" localSheetId="5">'ОС-01-01'!$B$1:$I$34</definedName>
    <definedName name="_xlnm.Print_Area" localSheetId="2">'ОС-01-01тек'!$B$1:$I$36</definedName>
    <definedName name="_xlnm.Print_Area" localSheetId="6">'ОС-06-01'!$B$1:$I$38</definedName>
    <definedName name="_xlnm.Print_Area" localSheetId="3">'ОС-06-01тек'!$B$1:$I$38</definedName>
    <definedName name="_xlnm.Print_Area" localSheetId="4">ССРбаз!$B$1:$I$67</definedName>
    <definedName name="_xlnm.Print_Area" localSheetId="1">ССРтек!$B$1:$I$69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2" l="1"/>
  <c r="D49" i="2"/>
  <c r="H49" i="7"/>
  <c r="D49" i="7"/>
  <c r="H48" i="7"/>
  <c r="D48" i="7"/>
  <c r="H47" i="7"/>
  <c r="D47" i="7"/>
  <c r="H46" i="7"/>
  <c r="D46" i="7"/>
  <c r="I34" i="1" l="1"/>
  <c r="D34" i="1"/>
  <c r="D33" i="1"/>
  <c r="D32" i="1"/>
  <c r="I35" i="1" l="1"/>
  <c r="E34" i="1"/>
  <c r="E33" i="1"/>
  <c r="E32" i="1"/>
  <c r="K21" i="1" l="1"/>
  <c r="K22" i="1"/>
  <c r="E21" i="24" l="1"/>
  <c r="I20" i="24"/>
  <c r="C20" i="24"/>
  <c r="D20" i="24"/>
  <c r="B22" i="24"/>
  <c r="B20" i="24"/>
  <c r="I20" i="23"/>
  <c r="E21" i="23"/>
  <c r="B22" i="23"/>
  <c r="B20" i="23"/>
  <c r="D24" i="23" l="1"/>
  <c r="D24" i="24"/>
  <c r="C65" i="2" l="1"/>
  <c r="C62" i="7" s="1"/>
  <c r="I10" i="23" l="1"/>
  <c r="B20" i="7"/>
  <c r="B23" i="7" s="1"/>
  <c r="B26" i="7" s="1"/>
  <c r="E29" i="1" l="1"/>
  <c r="E27" i="1"/>
  <c r="E26" i="1"/>
  <c r="D34" i="7" l="1"/>
  <c r="H34" i="2"/>
  <c r="H34" i="7" s="1"/>
  <c r="D34" i="2"/>
  <c r="B26" i="2"/>
  <c r="B20" i="2"/>
  <c r="B23" i="2" s="1"/>
  <c r="D22" i="24"/>
  <c r="D22" i="23" s="1"/>
  <c r="H10" i="24"/>
  <c r="H10" i="23" s="1"/>
  <c r="K20" i="1" l="1"/>
  <c r="F39" i="2" l="1"/>
  <c r="G39" i="2"/>
  <c r="E39" i="2"/>
  <c r="D38" i="2" l="1"/>
  <c r="C38" i="2"/>
  <c r="D35" i="2"/>
  <c r="C35" i="2"/>
  <c r="F39" i="7"/>
  <c r="G39" i="7"/>
  <c r="E39" i="7"/>
  <c r="C38" i="7"/>
  <c r="C35" i="7"/>
  <c r="D38" i="7"/>
  <c r="H35" i="2"/>
  <c r="I35" i="2" s="1"/>
  <c r="H35" i="7" l="1"/>
  <c r="I35" i="7" s="1"/>
  <c r="H38" i="7"/>
  <c r="I38" i="7" s="1"/>
  <c r="H38" i="2"/>
  <c r="I38" i="2" s="1"/>
  <c r="D35" i="7"/>
  <c r="D19" i="2" l="1"/>
  <c r="C19" i="7"/>
  <c r="C19" i="2" s="1"/>
  <c r="E23" i="1"/>
  <c r="H19" i="2" s="1"/>
  <c r="H19" i="7" l="1"/>
  <c r="I19" i="7" s="1"/>
  <c r="D19" i="7"/>
  <c r="G33" i="24"/>
  <c r="G29" i="24" s="1"/>
  <c r="G28" i="23" s="1"/>
  <c r="D33" i="24"/>
  <c r="G31" i="24"/>
  <c r="D31" i="24"/>
  <c r="I26" i="2"/>
  <c r="F27" i="2"/>
  <c r="G27" i="2"/>
  <c r="H27" i="2"/>
  <c r="E27" i="2"/>
  <c r="D26" i="2"/>
  <c r="C26" i="2"/>
  <c r="I23" i="2"/>
  <c r="D23" i="2"/>
  <c r="C23" i="2"/>
  <c r="B24" i="24"/>
  <c r="C18" i="24"/>
  <c r="B30" i="2"/>
  <c r="B34" i="2" s="1"/>
  <c r="B35" i="2" s="1"/>
  <c r="B36" i="2" s="1"/>
  <c r="B38" i="2" s="1"/>
  <c r="B42" i="2" s="1"/>
  <c r="D20" i="2"/>
  <c r="C20" i="2"/>
  <c r="I23" i="7"/>
  <c r="I26" i="7"/>
  <c r="H21" i="7" l="1"/>
  <c r="I27" i="2"/>
  <c r="H65" i="2"/>
  <c r="F25" i="23"/>
  <c r="G25" i="23"/>
  <c r="H25" i="23"/>
  <c r="H31" i="7" l="1"/>
  <c r="G31" i="7"/>
  <c r="F27" i="7"/>
  <c r="G27" i="7"/>
  <c r="H27" i="7"/>
  <c r="E27" i="7"/>
  <c r="F24" i="7"/>
  <c r="G24" i="7"/>
  <c r="H24" i="7"/>
  <c r="H28" i="7" s="1"/>
  <c r="H32" i="7" s="1"/>
  <c r="F20" i="7"/>
  <c r="E20" i="7"/>
  <c r="N28" i="7" s="1"/>
  <c r="B30" i="7"/>
  <c r="I20" i="7" l="1"/>
  <c r="H62" i="7"/>
  <c r="H33" i="1" l="1"/>
  <c r="H32" i="1" l="1"/>
  <c r="F34" i="1"/>
  <c r="E20" i="2" l="1"/>
  <c r="I20" i="2" l="1"/>
  <c r="N28" i="2"/>
  <c r="F25" i="24"/>
  <c r="G25" i="24"/>
  <c r="H25" i="24"/>
  <c r="C22" i="24"/>
  <c r="C22" i="23"/>
  <c r="F50" i="7" l="1"/>
  <c r="G50" i="7"/>
  <c r="E50" i="7"/>
  <c r="E50" i="2"/>
  <c r="F50" i="2"/>
  <c r="G50" i="2"/>
  <c r="C49" i="2"/>
  <c r="C49" i="7"/>
  <c r="D48" i="2" l="1"/>
  <c r="C48" i="2"/>
  <c r="D47" i="2"/>
  <c r="C47" i="2"/>
  <c r="D46" i="2"/>
  <c r="C46" i="2"/>
  <c r="C48" i="7"/>
  <c r="C47" i="7"/>
  <c r="C46" i="7" l="1"/>
  <c r="I49" i="2" l="1"/>
  <c r="H48" i="2" l="1"/>
  <c r="I48" i="2" s="1"/>
  <c r="I48" i="7"/>
  <c r="H47" i="2"/>
  <c r="I47" i="2" s="1"/>
  <c r="I47" i="7"/>
  <c r="H46" i="2"/>
  <c r="I59" i="2" s="1"/>
  <c r="I56" i="7"/>
  <c r="I49" i="7" l="1"/>
  <c r="H36" i="7" l="1"/>
  <c r="H39" i="7" s="1"/>
  <c r="I55" i="7" l="1"/>
  <c r="I58" i="2"/>
  <c r="B2" i="8" s="1"/>
  <c r="D19" i="24" l="1"/>
  <c r="C19" i="24"/>
  <c r="D18" i="24"/>
  <c r="B5" i="24" l="1"/>
  <c r="C30" i="2" l="1"/>
  <c r="D36" i="7" l="1"/>
  <c r="H36" i="2"/>
  <c r="I19" i="2" l="1"/>
  <c r="B34" i="7"/>
  <c r="B35" i="7" s="1"/>
  <c r="B36" i="7" s="1"/>
  <c r="B37" i="7" l="1"/>
  <c r="B38" i="7"/>
  <c r="B42" i="7" s="1"/>
  <c r="B45" i="7" s="1"/>
  <c r="B46" i="7" s="1"/>
  <c r="B14" i="2" l="1"/>
  <c r="C24" i="24"/>
  <c r="A24" i="24"/>
  <c r="F24" i="2"/>
  <c r="I19" i="24"/>
  <c r="B19" i="24"/>
  <c r="I18" i="24"/>
  <c r="I21" i="24" s="1"/>
  <c r="B1" i="24"/>
  <c r="G32" i="23"/>
  <c r="D32" i="23"/>
  <c r="G30" i="23"/>
  <c r="D30" i="23"/>
  <c r="C24" i="23"/>
  <c r="A24" i="23"/>
  <c r="I19" i="23"/>
  <c r="B19" i="23"/>
  <c r="B24" i="23" s="1"/>
  <c r="I18" i="23"/>
  <c r="B1" i="23"/>
  <c r="I21" i="23" l="1"/>
  <c r="G24" i="2"/>
  <c r="H24" i="2"/>
  <c r="E24" i="7"/>
  <c r="D25" i="17"/>
  <c r="D25" i="21"/>
  <c r="I24" i="2" l="1"/>
  <c r="E24" i="2"/>
  <c r="J24" i="2" l="1"/>
  <c r="G37" i="21"/>
  <c r="D37" i="21"/>
  <c r="G35" i="21"/>
  <c r="D35" i="21"/>
  <c r="G33" i="21"/>
  <c r="D33" i="21"/>
  <c r="G31" i="21"/>
  <c r="D27" i="21"/>
  <c r="C27" i="21"/>
  <c r="A27" i="21"/>
  <c r="C25" i="21"/>
  <c r="C23" i="21"/>
  <c r="H22" i="21"/>
  <c r="H24" i="21" s="1"/>
  <c r="H26" i="21" s="1"/>
  <c r="G22" i="21"/>
  <c r="G24" i="21" s="1"/>
  <c r="G26" i="21" s="1"/>
  <c r="F22" i="21"/>
  <c r="E22" i="21"/>
  <c r="I21" i="21"/>
  <c r="I20" i="21"/>
  <c r="B20" i="21"/>
  <c r="B21" i="21" s="1"/>
  <c r="B23" i="21" s="1"/>
  <c r="B25" i="21" s="1"/>
  <c r="B27" i="21" s="1"/>
  <c r="I19" i="21"/>
  <c r="B19" i="21"/>
  <c r="I18" i="21"/>
  <c r="I10" i="21"/>
  <c r="H10" i="21"/>
  <c r="B1" i="21"/>
  <c r="F21" i="2"/>
  <c r="E21" i="2" l="1"/>
  <c r="H21" i="2"/>
  <c r="G21" i="2"/>
  <c r="I22" i="21"/>
  <c r="G27" i="21"/>
  <c r="G28" i="21" s="1"/>
  <c r="H27" i="21"/>
  <c r="H28" i="21" s="1"/>
  <c r="D37" i="7" l="1"/>
  <c r="D37" i="2"/>
  <c r="B23" i="17" l="1"/>
  <c r="I36" i="2" l="1"/>
  <c r="I37" i="2"/>
  <c r="H39" i="2"/>
  <c r="I37" i="7"/>
  <c r="I34" i="7"/>
  <c r="C36" i="7"/>
  <c r="C37" i="7"/>
  <c r="C30" i="7"/>
  <c r="C25" i="17"/>
  <c r="F21" i="7"/>
  <c r="E21" i="7"/>
  <c r="C37" i="2"/>
  <c r="C36" i="2"/>
  <c r="F28" i="7" l="1"/>
  <c r="E28" i="7"/>
  <c r="I34" i="2"/>
  <c r="I39" i="2" s="1"/>
  <c r="I36" i="7"/>
  <c r="I39" i="7" s="1"/>
  <c r="B25" i="17"/>
  <c r="C23" i="17"/>
  <c r="B1" i="17"/>
  <c r="G37" i="17"/>
  <c r="D37" i="17"/>
  <c r="G35" i="17"/>
  <c r="D35" i="17"/>
  <c r="G33" i="17"/>
  <c r="D33" i="17"/>
  <c r="G31" i="17"/>
  <c r="D27" i="17"/>
  <c r="C27" i="17"/>
  <c r="A27" i="17"/>
  <c r="H22" i="17"/>
  <c r="H24" i="17" s="1"/>
  <c r="H26" i="17" s="1"/>
  <c r="G22" i="17"/>
  <c r="F22" i="17"/>
  <c r="E22" i="17"/>
  <c r="I21" i="17"/>
  <c r="I20" i="17"/>
  <c r="I19" i="17"/>
  <c r="B19" i="17"/>
  <c r="B20" i="17" s="1"/>
  <c r="B21" i="17" s="1"/>
  <c r="I18" i="17"/>
  <c r="I10" i="17"/>
  <c r="H10" i="17"/>
  <c r="J39" i="2" l="1"/>
  <c r="J39" i="7"/>
  <c r="E28" i="2"/>
  <c r="G24" i="17"/>
  <c r="G26" i="17" s="1"/>
  <c r="G27" i="17" s="1"/>
  <c r="I22" i="17"/>
  <c r="B27" i="17"/>
  <c r="H27" i="17"/>
  <c r="H28" i="17" s="1"/>
  <c r="G28" i="17" l="1"/>
  <c r="G28" i="2"/>
  <c r="I27" i="7"/>
  <c r="F28" i="2" l="1"/>
  <c r="G24" i="1"/>
  <c r="A23" i="17" l="1"/>
  <c r="A23" i="21"/>
  <c r="D23" i="17"/>
  <c r="D23" i="21"/>
  <c r="D30" i="7"/>
  <c r="D30" i="2" s="1"/>
  <c r="A30" i="7"/>
  <c r="F30" i="7" l="1"/>
  <c r="F31" i="7" s="1"/>
  <c r="F32" i="7" s="1"/>
  <c r="E30" i="7"/>
  <c r="A30" i="2"/>
  <c r="A22" i="24" s="1"/>
  <c r="E22" i="24" s="1"/>
  <c r="E23" i="21"/>
  <c r="F23" i="21"/>
  <c r="F24" i="21" s="1"/>
  <c r="F25" i="21" s="1"/>
  <c r="F26" i="21" s="1"/>
  <c r="F27" i="21" s="1"/>
  <c r="F28" i="21" s="1"/>
  <c r="E23" i="17"/>
  <c r="E24" i="17" s="1"/>
  <c r="F23" i="17"/>
  <c r="F24" i="17" s="1"/>
  <c r="A22" i="23" l="1"/>
  <c r="E22" i="23" s="1"/>
  <c r="E23" i="23" s="1"/>
  <c r="E31" i="7"/>
  <c r="E32" i="7" s="1"/>
  <c r="I30" i="7"/>
  <c r="I31" i="7" s="1"/>
  <c r="F30" i="2"/>
  <c r="F31" i="2" s="1"/>
  <c r="F32" i="2" s="1"/>
  <c r="E30" i="2"/>
  <c r="E31" i="2" s="1"/>
  <c r="E32" i="2" s="1"/>
  <c r="E24" i="21"/>
  <c r="I23" i="21"/>
  <c r="I24" i="21" s="1"/>
  <c r="I23" i="17"/>
  <c r="I24" i="17" s="1"/>
  <c r="F25" i="17"/>
  <c r="F26" i="17" s="1"/>
  <c r="F27" i="17" s="1"/>
  <c r="F28" i="17" s="1"/>
  <c r="E25" i="17"/>
  <c r="E26" i="17" s="1"/>
  <c r="E27" i="17" s="1"/>
  <c r="E23" i="24" l="1"/>
  <c r="E24" i="24" s="1"/>
  <c r="E25" i="24" s="1"/>
  <c r="I22" i="24"/>
  <c r="I23" i="24" s="1"/>
  <c r="E24" i="23"/>
  <c r="E25" i="23" s="1"/>
  <c r="I22" i="23"/>
  <c r="I23" i="23" s="1"/>
  <c r="E25" i="21"/>
  <c r="I25" i="21" s="1"/>
  <c r="I26" i="21" s="1"/>
  <c r="I27" i="17"/>
  <c r="I25" i="17"/>
  <c r="I26" i="17" s="1"/>
  <c r="E28" i="17"/>
  <c r="I24" i="24" l="1"/>
  <c r="I24" i="23"/>
  <c r="I25" i="23" s="1"/>
  <c r="E26" i="21"/>
  <c r="E27" i="21" s="1"/>
  <c r="I27" i="21" s="1"/>
  <c r="I28" i="21" s="1"/>
  <c r="H9" i="21" s="1"/>
  <c r="H11" i="21" s="1"/>
  <c r="I28" i="17"/>
  <c r="H9" i="17" s="1"/>
  <c r="H11" i="17" s="1"/>
  <c r="I25" i="24" l="1"/>
  <c r="H9" i="24" s="1"/>
  <c r="H11" i="24" s="1"/>
  <c r="H9" i="23"/>
  <c r="H11" i="23" s="1"/>
  <c r="E28" i="21"/>
  <c r="I46" i="2"/>
  <c r="C53" i="2" l="1"/>
  <c r="C45" i="2"/>
  <c r="D36" i="2"/>
  <c r="C53" i="7"/>
  <c r="C45" i="7"/>
  <c r="I46" i="7" l="1"/>
  <c r="G21" i="7" l="1"/>
  <c r="H59" i="7"/>
  <c r="C59" i="7"/>
  <c r="C62" i="2"/>
  <c r="H62" i="2"/>
  <c r="G28" i="7" l="1"/>
  <c r="I24" i="7"/>
  <c r="J24" i="7"/>
  <c r="G32" i="7" l="1"/>
  <c r="A42" i="7"/>
  <c r="A42" i="2"/>
  <c r="C34" i="2" l="1"/>
  <c r="D2" i="7"/>
  <c r="C42" i="7" l="1"/>
  <c r="C42" i="2" s="1"/>
  <c r="G31" i="2" l="1"/>
  <c r="H31" i="2"/>
  <c r="G32" i="2" l="1"/>
  <c r="G40" i="2" l="1"/>
  <c r="G51" i="2" s="1"/>
  <c r="G40" i="7"/>
  <c r="G51" i="7" s="1"/>
  <c r="G53" i="7" s="1"/>
  <c r="G54" i="7" l="1"/>
  <c r="H40" i="7" l="1"/>
  <c r="D12" i="7" l="1"/>
  <c r="D12" i="2"/>
  <c r="A7" i="8" l="1"/>
  <c r="A4" i="8" l="1"/>
  <c r="D2" i="2" l="1"/>
  <c r="A53" i="2"/>
  <c r="G53" i="2" s="1"/>
  <c r="C34" i="7"/>
  <c r="G54" i="2" l="1"/>
  <c r="G56" i="2" l="1"/>
  <c r="G57" i="2" s="1"/>
  <c r="D57" i="2"/>
  <c r="H28" i="2"/>
  <c r="F40" i="7" l="1"/>
  <c r="F51" i="7" s="1"/>
  <c r="F53" i="7" s="1"/>
  <c r="I21" i="7" l="1"/>
  <c r="J21" i="7"/>
  <c r="B37" i="2"/>
  <c r="F40" i="2"/>
  <c r="F51" i="2" s="1"/>
  <c r="F53" i="2" s="1"/>
  <c r="H32" i="2"/>
  <c r="H40" i="2" s="1"/>
  <c r="I21" i="2"/>
  <c r="J21" i="2" l="1"/>
  <c r="J28" i="7"/>
  <c r="I28" i="7"/>
  <c r="B45" i="2"/>
  <c r="B46" i="2" s="1"/>
  <c r="B47" i="7"/>
  <c r="B48" i="7" s="1"/>
  <c r="B49" i="7" s="1"/>
  <c r="B53" i="7" s="1"/>
  <c r="J31" i="7"/>
  <c r="I32" i="7" l="1"/>
  <c r="J32" i="7"/>
  <c r="B47" i="2"/>
  <c r="B48" i="2" s="1"/>
  <c r="B49" i="2" s="1"/>
  <c r="B53" i="2" s="1"/>
  <c r="B56" i="2" s="1"/>
  <c r="J28" i="2"/>
  <c r="I28" i="2"/>
  <c r="F54" i="2"/>
  <c r="E40" i="7" l="1"/>
  <c r="I40" i="7"/>
  <c r="H42" i="7" s="1"/>
  <c r="F56" i="2"/>
  <c r="F57" i="2" s="1"/>
  <c r="I30" i="2"/>
  <c r="H43" i="7" l="1"/>
  <c r="D42" i="7"/>
  <c r="I31" i="2"/>
  <c r="I32" i="2" s="1"/>
  <c r="E51" i="7"/>
  <c r="E53" i="7" s="1"/>
  <c r="J40" i="7"/>
  <c r="D45" i="7"/>
  <c r="H45" i="7"/>
  <c r="H50" i="7" s="1"/>
  <c r="J31" i="2"/>
  <c r="I42" i="7" l="1"/>
  <c r="E54" i="7"/>
  <c r="J32" i="2"/>
  <c r="I45" i="7"/>
  <c r="I50" i="7" s="1"/>
  <c r="F54" i="7"/>
  <c r="J50" i="7" l="1"/>
  <c r="E40" i="2"/>
  <c r="H51" i="7"/>
  <c r="H53" i="7" s="1"/>
  <c r="I53" i="7" s="1"/>
  <c r="I43" i="7"/>
  <c r="E51" i="2" l="1"/>
  <c r="J51" i="7"/>
  <c r="I51" i="7"/>
  <c r="I40" i="2" l="1"/>
  <c r="E53" i="2"/>
  <c r="E54" i="2" s="1"/>
  <c r="J40" i="2"/>
  <c r="H42" i="2" l="1"/>
  <c r="I42" i="2" s="1"/>
  <c r="I43" i="2" s="1"/>
  <c r="D42" i="2"/>
  <c r="D45" i="2"/>
  <c r="H45" i="2"/>
  <c r="H50" i="2" s="1"/>
  <c r="H43" i="2"/>
  <c r="E56" i="2"/>
  <c r="E57" i="2" s="1"/>
  <c r="B8" i="8" s="1"/>
  <c r="B5" i="8"/>
  <c r="H54" i="7"/>
  <c r="J54" i="7" s="1"/>
  <c r="I45" i="2" l="1"/>
  <c r="I50" i="2" s="1"/>
  <c r="I51" i="2" s="1"/>
  <c r="H51" i="2"/>
  <c r="J51" i="2" l="1"/>
  <c r="H53" i="2"/>
  <c r="H54" i="2" s="1"/>
  <c r="H56" i="2" s="1"/>
  <c r="I56" i="2" s="1"/>
  <c r="I54" i="7"/>
  <c r="C6" i="7" s="1"/>
  <c r="H57" i="2" l="1"/>
  <c r="I53" i="2"/>
  <c r="I54" i="2" s="1"/>
  <c r="B4" i="8" s="1"/>
  <c r="J54" i="2" l="1"/>
  <c r="I57" i="2"/>
  <c r="C6" i="2" s="1"/>
  <c r="J57" i="2"/>
  <c r="B7" i="8" l="1"/>
  <c r="B10" i="8" s="1"/>
</calcChain>
</file>

<file path=xl/comments1.xml><?xml version="1.0" encoding="utf-8"?>
<comments xmlns="http://schemas.openxmlformats.org/spreadsheetml/2006/main">
  <authors>
    <author>Автор</author>
  </authors>
  <commentList>
    <comment ref="E17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04.01.2001  № 3412/10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07.10.1999 № АШ-9/10</t>
        </r>
      </text>
    </comment>
  </commentList>
</comments>
</file>

<file path=xl/sharedStrings.xml><?xml version="1.0" encoding="utf-8"?>
<sst xmlns="http://schemas.openxmlformats.org/spreadsheetml/2006/main" count="325" uniqueCount="169">
  <si>
    <t>Объект</t>
  </si>
  <si>
    <t xml:space="preserve">Изыскания </t>
  </si>
  <si>
    <t xml:space="preserve">Проектные </t>
  </si>
  <si>
    <t>Экспертиза</t>
  </si>
  <si>
    <t xml:space="preserve">ПРОЧИЕ ЗАТРАТЫ </t>
  </si>
  <si>
    <t>база</t>
  </si>
  <si>
    <t>текущие</t>
  </si>
  <si>
    <t>%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</si>
  <si>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</si>
  <si>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</si>
  <si>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</si>
  <si>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</si>
  <si>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(наименование стройки)</t>
  </si>
  <si>
    <t>№ пп</t>
  </si>
  <si>
    <t>Сметная стоимость, тыс. руб.</t>
  </si>
  <si>
    <t>монтажных работ</t>
  </si>
  <si>
    <t>№ п/п</t>
  </si>
  <si>
    <t>Сметная стоимость, тыс.руб.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</si>
  <si>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</si>
  <si>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</si>
  <si>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</si>
  <si>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</si>
  <si>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</si>
  <si>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</si>
  <si>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</si>
  <si>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</si>
  <si>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</si>
  <si>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 xml:space="preserve">Составлен в базисном уровне цен 2001г. </t>
  </si>
  <si>
    <t xml:space="preserve"> тыс. руб.</t>
  </si>
  <si>
    <t>Глава 1. Подготовка территории строительства</t>
  </si>
  <si>
    <t>Главный инженер проекта</t>
  </si>
  <si>
    <t>Составил</t>
  </si>
  <si>
    <t>Проверил</t>
  </si>
  <si>
    <t>Итого по Главе 1</t>
  </si>
  <si>
    <t>Глава 2. Основные объекты строительства</t>
  </si>
  <si>
    <t>Итого по Главе 2</t>
  </si>
  <si>
    <t>Итого по по главам 1-7</t>
  </si>
  <si>
    <t>Глава 8. Временные здания и сооружения</t>
  </si>
  <si>
    <t>Итого по Главе 8</t>
  </si>
  <si>
    <t>Итого по по главам 1-8</t>
  </si>
  <si>
    <t>Глава 9. Прочие работы и затраты</t>
  </si>
  <si>
    <t>Итого по Главе 9</t>
  </si>
  <si>
    <t>Итого по по главам 1-9</t>
  </si>
  <si>
    <t>Итого по Главе 12</t>
  </si>
  <si>
    <t>Итого по по главам 1-12</t>
  </si>
  <si>
    <t>Непредвиденные затраты</t>
  </si>
  <si>
    <t>Итого с непредвиденными</t>
  </si>
  <si>
    <t>Налоги и обязательные платежи</t>
  </si>
  <si>
    <t xml:space="preserve">НДС 20% </t>
  </si>
  <si>
    <t>Возвратные суммы</t>
  </si>
  <si>
    <t>Заказчик:</t>
  </si>
  <si>
    <t>в том числе строительно-монтажных работ</t>
  </si>
  <si>
    <t xml:space="preserve">в том числе строительно-монтажных работ </t>
  </si>
  <si>
    <t xml:space="preserve"> тыс. руб. </t>
  </si>
  <si>
    <t>Глава 10. Содержание службы заказчика. Строительный контроль</t>
  </si>
  <si>
    <t>Строительный контроль</t>
  </si>
  <si>
    <t>Итого по Главе 10</t>
  </si>
  <si>
    <t>Непредвиденные работы и затраты 3%</t>
  </si>
  <si>
    <t>Непредвиденные работы и затраты</t>
  </si>
  <si>
    <t>Пусконаладка</t>
  </si>
  <si>
    <t>Итого</t>
  </si>
  <si>
    <t>Всего</t>
  </si>
  <si>
    <t>Основание ________________________________________________________________________________</t>
  </si>
  <si>
    <t>Сметная стоимость ______________________________________________________________</t>
  </si>
  <si>
    <t>Расчетный измеритель
объекта капитального строительства _____________________________________________</t>
  </si>
  <si>
    <t>Показатель единичной стоимости
на расчетный измеритель объекта капитальнго строительства_________________________</t>
  </si>
  <si>
    <t xml:space="preserve"> руб.</t>
  </si>
  <si>
    <t>Обоснование</t>
  </si>
  <si>
    <t>Наименование локальных сметных расчетов (смет), затрат</t>
  </si>
  <si>
    <t>строительных (ремонтно-строительных, ремонтно-реставрационных)
работ</t>
  </si>
  <si>
    <t>оборудования</t>
  </si>
  <si>
    <t>прочих
затрат</t>
  </si>
  <si>
    <t>Методика утв. Приказом Минстрой РФ от 04.08.2020г. №421/пр п.173</t>
  </si>
  <si>
    <t xml:space="preserve">Авторский надзор </t>
  </si>
  <si>
    <t>Методика утв. Приказом Минстрой РФ от 04.08.2020г. №421/пр п.179</t>
  </si>
  <si>
    <t>тек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</si>
  <si>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</si>
  <si>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Наименование глав, объекто, капиталного строительства, работ и затрат</t>
  </si>
  <si>
    <t>строительных (ремонтно-строительных, ремонтно-реставрационных) работ</t>
  </si>
  <si>
    <t>прочих затрат</t>
  </si>
  <si>
    <t>Закон РФ от 03.08.18 г.
№303-ФЗ.</t>
  </si>
  <si>
    <t>Стоимость размещения отходов на полигоне ТБО</t>
  </si>
  <si>
    <t>СР-1</t>
  </si>
  <si>
    <t>Глава 7. Благоустройство и озеленение территории</t>
  </si>
  <si>
    <t>Итого по Главе 7</t>
  </si>
  <si>
    <t>ОБЪЕКТНЫЙ СМЕТНЫЙ РАСЧЕТ № ОС-06-01</t>
  </si>
  <si>
    <t>ЛС-06-01-01</t>
  </si>
  <si>
    <t>ЛС-06-01-02</t>
  </si>
  <si>
    <t>ЛС-06-01-03</t>
  </si>
  <si>
    <t>ЛС-06-01-04</t>
  </si>
  <si>
    <t>Хозяйственно-питевой водопровод</t>
  </si>
  <si>
    <t>Ливневая канализация</t>
  </si>
  <si>
    <t>Хозяйственно-бытовая канализация</t>
  </si>
  <si>
    <t>Переустройство тепловых сетей</t>
  </si>
  <si>
    <t xml:space="preserve">Наружные сети и сооружения водоснабжения, водоотведения, теплоснабжения и газоснабжения </t>
  </si>
  <si>
    <t xml:space="preserve">Наружные сети и сооружения водоснабжения, водоотведения, теплоснабжения и газоснабжения  </t>
  </si>
  <si>
    <t xml:space="preserve">Составлен в текущем уровне цен 1 кв.2021г. </t>
  </si>
  <si>
    <t>Плата за технологическое присоединение к сетям АО "ДРСК"</t>
  </si>
  <si>
    <t>Разработка проектной документации</t>
  </si>
  <si>
    <t>Проведение государственной экспертизы по объекту</t>
  </si>
  <si>
    <t>Разработка рабочей документации</t>
  </si>
  <si>
    <t>СВОДНЫЙ СМЕТНЫЙ РАСЧЕТ СТОИМОСТИ СТРОИТЕЛЬСТВА № ССРСР-01</t>
  </si>
  <si>
    <t>СВОДНЫЙ СМЕТНЫЙ РАСЧЕТ СТОИМОСТИ СТРОИТЕЛЬСТВА№ ССРСР-01</t>
  </si>
  <si>
    <t xml:space="preserve">Генеральный директор </t>
  </si>
  <si>
    <t>Объект-аналог</t>
  </si>
  <si>
    <t>Возвратные суммы, тыс. руб.</t>
  </si>
  <si>
    <t>Возвратные суммы с НДС, тыс. руб.</t>
  </si>
  <si>
    <t>Ущерб водным биоресурсам</t>
  </si>
  <si>
    <t>Прил. №5</t>
  </si>
  <si>
    <t>тыс. руб.</t>
  </si>
  <si>
    <t>Постановление Правительства РФ от 21.06.2010г. №468</t>
  </si>
  <si>
    <t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t>
  </si>
  <si>
    <t>Договор субподряда</t>
  </si>
  <si>
    <t>Заказчик(Подрядчик):</t>
  </si>
  <si>
    <t>ООО "Север"</t>
  </si>
  <si>
    <t>Директор</t>
  </si>
  <si>
    <t>А.Ю.Харченко</t>
  </si>
  <si>
    <t>Исполнитель (Субподрядчик)</t>
  </si>
  <si>
    <t xml:space="preserve"> ООО "ИВЦ "Энергоактив""</t>
  </si>
  <si>
    <t>С.В. Лопашук</t>
  </si>
  <si>
    <t>Внешние инженерные сети теплоснабжения (Оплата труда)</t>
  </si>
  <si>
    <t>Внешние инженерные сети теплоснабжения (Материалы)</t>
  </si>
  <si>
    <t>Внешние инженерные сети теплоснабжения (Эксплуатация машин)</t>
  </si>
  <si>
    <t>Прочие  (По объектам непроизводственного назначения)</t>
  </si>
  <si>
    <t>Прил. №6</t>
  </si>
  <si>
    <t>Оборуд  (По объектам непроизводственного назначения)</t>
  </si>
  <si>
    <t>Прил. 4</t>
  </si>
  <si>
    <t>Методика утв. Приказом Минстрой РФ от 19.06.20г. №332/пр, Приложение 1, п.53</t>
  </si>
  <si>
    <t>Постановление Правительства РФ №145от 05.03.2007г.</t>
  </si>
  <si>
    <t>Н.В.Петров</t>
  </si>
  <si>
    <t>А.В.Исаев</t>
  </si>
  <si>
    <t>Расчёт платы за негативное воздействие на окружающую среду (выбросы загрязняющих веществ в атмосферу)</t>
  </si>
  <si>
    <t>Расчёт платы за негативное воздействие на окружающую среду (размещеие отходов)</t>
  </si>
  <si>
    <t>Расчет затрат на экологический мониторинг</t>
  </si>
  <si>
    <t xml:space="preserve">        Стоимость 1 км составила -  </t>
  </si>
  <si>
    <t>Общая протяженность</t>
  </si>
  <si>
    <t>км</t>
  </si>
  <si>
    <t>м</t>
  </si>
  <si>
    <t>№01/Пд/09-01-23-4</t>
  </si>
  <si>
    <t>09-01-23-4-ООС</t>
  </si>
  <si>
    <t>09-01-23-4-ООС  таб.3.1</t>
  </si>
  <si>
    <t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</t>
  </si>
  <si>
    <t>В том числе ПИР</t>
  </si>
  <si>
    <t>ЛС-01-01-01</t>
  </si>
  <si>
    <t>Очистка территории строительства</t>
  </si>
  <si>
    <t>Разборка существующего покрытия и тротуара</t>
  </si>
  <si>
    <t xml:space="preserve">Подготовительные работы </t>
  </si>
  <si>
    <t>ОС-01-01</t>
  </si>
  <si>
    <t>ЛС-02-01-01</t>
  </si>
  <si>
    <t>ЛС-07-01-01</t>
  </si>
  <si>
    <t xml:space="preserve">Тепловые сети </t>
  </si>
  <si>
    <t xml:space="preserve">Восстановление благоустройства </t>
  </si>
  <si>
    <t>ОБЪЕКТНЫЙ СМЕТНЫЙ РАСЧЕТ № ОС-01-01</t>
  </si>
  <si>
    <t>ЛС-01-01-02</t>
  </si>
  <si>
    <t>«Реконструкция распределительных и квартальных тепловых сетей г. Благовещенска Амурской области» Объект 7: Тепловые сети по ул. Пушкина от ТК-317 до ТК-320, L=222,53 м, D = 426 мм.</t>
  </si>
  <si>
    <t>ЛС-01-01-03</t>
  </si>
  <si>
    <t>Устройство защиты кабелей сети связи</t>
  </si>
  <si>
    <t>1 квартал 2023 г.</t>
  </si>
  <si>
    <t>Письмо Минстроя России 
от 30.03.2023г. №17106-ИФ/09</t>
  </si>
  <si>
    <t>Прил. 1</t>
  </si>
  <si>
    <t>Письмо Минстроя России 
от 23.02.2023г. № 9791-ИФ/09</t>
  </si>
  <si>
    <t>Письмо Минстроя России 
от 30.01.2023г. № 4125-ИФ/09</t>
  </si>
  <si>
    <t xml:space="preserve"> Смета №1-4</t>
  </si>
  <si>
    <t>Смета №5</t>
  </si>
  <si>
    <t>Смета №6</t>
  </si>
  <si>
    <t>"Утвержден" «    »________________2023 г.</t>
  </si>
  <si>
    <t xml:space="preserve">Составлен в текущем уровне цен 1 кв.2023 г. </t>
  </si>
  <si>
    <t xml:space="preserve">Компенсационные выплаты за снос зеленых насаждений </t>
  </si>
  <si>
    <t>Стоимость возвратных сумм на 1 квартал 2023г. определилась в размере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</si>
</sst>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.0"/>
    <numFmt numFmtId="166" formatCode="0.0%"/>
    <numFmt numFmtId="167" formatCode="0.000"/>
    <numFmt numFmtId="168" formatCode="#,##0.000"/>
  </numFmts>
  <fonts count="4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Журнал"/>
      <charset val="204"/>
    </font>
    <font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Times New Roman Cyr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i/>
      <sz val="9"/>
      <color rgb="FF0000FF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Arial Cyr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0.5"/>
      <name val="Times New Roman Cyr"/>
      <family val="1"/>
      <charset val="204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0.5"/>
      <name val="Times New Roman Cyr"/>
      <charset val="204"/>
    </font>
    <font>
      <sz val="11"/>
      <color theme="1"/>
      <name val="Cambria"/>
      <family val="1"/>
      <charset val="204"/>
    </font>
    <font>
      <sz val="11"/>
      <name val="Cambria"/>
      <family val="1"/>
      <charset val="204"/>
    </font>
    <font>
      <sz val="10"/>
      <color rgb="FFFF0000"/>
      <name val="Cambria"/>
      <family val="1"/>
      <charset val="204"/>
    </font>
    <font>
      <sz val="9"/>
      <color rgb="FF0000FF"/>
      <name val="Times New Roman"/>
      <family val="1"/>
      <charset val="204"/>
    </font>
    <font>
      <sz val="10"/>
      <color rgb="FFFF00FF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1"/>
      <color rgb="FFFF0000"/>
      <name val="Cambria"/>
      <family val="1"/>
      <charset val="204"/>
    </font>
    <font>
      <sz val="10"/>
      <name val="Cambria"/>
      <family val="1"/>
      <charset val="204"/>
    </font>
    <font>
      <b/>
      <sz val="10"/>
      <name val="Cambria"/>
      <family val="1"/>
      <charset val="204"/>
    </font>
    <font>
      <sz val="10"/>
      <color rgb="FF0000FF"/>
      <name val="Cambria"/>
      <family val="1"/>
      <charset val="204"/>
    </font>
    <font>
      <sz val="10"/>
      <name val="Times New Roman Cyr"/>
      <charset val="204"/>
    </font>
    <font>
      <i/>
      <sz val="10"/>
      <color rgb="FF0000FF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Cambria"/>
      <family val="1"/>
      <charset val="204"/>
    </font>
    <font>
      <i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E1"/>
        <bgColor indexed="64"/>
      </patternFill>
    </fill>
    <fill>
      <patternFill patternType="solid">
        <fgColor rgb="FFEAD5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2" fontId="9" fillId="0" borderId="0"/>
    <xf numFmtId="0" fontId="9" fillId="0" borderId="0"/>
    <xf numFmtId="0" fontId="23" fillId="0" borderId="0"/>
  </cellStyleXfs>
  <cellXfs count="313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49" fontId="1" fillId="0" borderId="14" xfId="0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2" fontId="14" fillId="0" borderId="0" xfId="2" applyNumberFormat="1" applyFont="1" applyFill="1" applyAlignment="1">
      <alignment horizontal="left" vertical="center"/>
    </xf>
    <xf numFmtId="2" fontId="14" fillId="0" borderId="0" xfId="2" applyNumberFormat="1" applyFont="1" applyFill="1" applyAlignment="1">
      <alignment horizontal="center" vertical="center"/>
    </xf>
    <xf numFmtId="2" fontId="14" fillId="0" borderId="0" xfId="2" applyFont="1" applyFill="1" applyBorder="1" applyAlignment="1">
      <alignment vertical="center"/>
    </xf>
    <xf numFmtId="2" fontId="10" fillId="0" borderId="0" xfId="2" applyFont="1" applyFill="1" applyBorder="1" applyAlignment="1">
      <alignment vertical="center"/>
    </xf>
    <xf numFmtId="49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4" fontId="17" fillId="0" borderId="14" xfId="0" applyNumberFormat="1" applyFont="1" applyBorder="1" applyAlignment="1">
      <alignment vertical="center"/>
    </xf>
    <xf numFmtId="4" fontId="17" fillId="0" borderId="14" xfId="0" applyNumberFormat="1" applyFont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4" fontId="1" fillId="0" borderId="14" xfId="0" applyNumberFormat="1" applyFont="1" applyFill="1" applyBorder="1" applyAlignment="1">
      <alignment horizontal="right" vertical="center" wrapText="1"/>
    </xf>
    <xf numFmtId="4" fontId="17" fillId="0" borderId="14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" fontId="21" fillId="0" borderId="14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/>
    </xf>
    <xf numFmtId="1" fontId="1" fillId="0" borderId="14" xfId="0" applyNumberFormat="1" applyFont="1" applyFill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Fill="1" applyAlignment="1">
      <alignment horizontal="left" vertical="center"/>
    </xf>
    <xf numFmtId="10" fontId="2" fillId="0" borderId="18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4" fillId="0" borderId="0" xfId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Fill="1"/>
    <xf numFmtId="2" fontId="1" fillId="0" borderId="0" xfId="0" applyNumberFormat="1" applyFont="1" applyFill="1" applyAlignment="1">
      <alignment horizontal="left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Fill="1" applyAlignment="1"/>
    <xf numFmtId="4" fontId="25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left"/>
    </xf>
    <xf numFmtId="4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8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Border="1" applyAlignment="1">
      <alignment vertical="center" wrapText="1"/>
    </xf>
    <xf numFmtId="0" fontId="27" fillId="0" borderId="14" xfId="1" applyFont="1" applyFill="1" applyBorder="1" applyAlignment="1">
      <alignment horizontal="center" vertical="center" wrapText="1"/>
    </xf>
    <xf numFmtId="2" fontId="26" fillId="0" borderId="14" xfId="1" applyNumberFormat="1" applyFont="1" applyFill="1" applyBorder="1" applyAlignment="1">
      <alignment horizontal="left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2" fontId="29" fillId="0" borderId="14" xfId="1" applyNumberFormat="1" applyFont="1" applyFill="1" applyBorder="1" applyAlignment="1">
      <alignment horizontal="left" vertical="center" wrapText="1"/>
    </xf>
    <xf numFmtId="4" fontId="24" fillId="0" borderId="14" xfId="0" applyNumberFormat="1" applyFont="1" applyBorder="1" applyAlignment="1">
      <alignment horizontal="center" vertical="center"/>
    </xf>
    <xf numFmtId="4" fontId="25" fillId="0" borderId="14" xfId="0" applyNumberFormat="1" applyFont="1" applyBorder="1" applyAlignment="1">
      <alignment horizontal="center" vertical="center"/>
    </xf>
    <xf numFmtId="2" fontId="28" fillId="0" borderId="14" xfId="0" applyNumberFormat="1" applyFont="1" applyFill="1" applyBorder="1" applyAlignment="1">
      <alignment horizontal="left" vertical="center" wrapText="1"/>
    </xf>
    <xf numFmtId="49" fontId="28" fillId="0" borderId="14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26" fillId="0" borderId="14" xfId="1" applyFont="1" applyFill="1" applyBorder="1" applyAlignment="1">
      <alignment horizontal="left" vertical="center" wrapText="1"/>
    </xf>
    <xf numFmtId="4" fontId="24" fillId="0" borderId="14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left"/>
    </xf>
    <xf numFmtId="4" fontId="25" fillId="0" borderId="14" xfId="0" applyNumberFormat="1" applyFont="1" applyBorder="1" applyAlignment="1">
      <alignment horizontal="center" vertical="center" wrapText="1"/>
    </xf>
    <xf numFmtId="0" fontId="30" fillId="0" borderId="0" xfId="0" applyFont="1"/>
    <xf numFmtId="4" fontId="12" fillId="0" borderId="14" xfId="0" applyNumberFormat="1" applyFont="1" applyFill="1" applyBorder="1" applyAlignment="1">
      <alignment horizontal="left" vertical="center" wrapText="1"/>
    </xf>
    <xf numFmtId="4" fontId="12" fillId="0" borderId="14" xfId="0" applyNumberFormat="1" applyFont="1" applyFill="1" applyBorder="1" applyAlignment="1">
      <alignment horizontal="right" vertical="center" wrapText="1"/>
    </xf>
    <xf numFmtId="1" fontId="12" fillId="0" borderId="14" xfId="0" applyNumberFormat="1" applyFont="1" applyFill="1" applyBorder="1" applyAlignment="1">
      <alignment horizontal="center" vertical="center"/>
    </xf>
    <xf numFmtId="10" fontId="33" fillId="0" borderId="0" xfId="0" applyNumberFormat="1" applyFont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right" vertical="center" wrapText="1"/>
    </xf>
    <xf numFmtId="4" fontId="31" fillId="0" borderId="0" xfId="0" applyNumberFormat="1" applyFont="1" applyAlignment="1">
      <alignment vertical="center" wrapText="1"/>
    </xf>
    <xf numFmtId="4" fontId="1" fillId="0" borderId="15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10" fontId="2" fillId="0" borderId="18" xfId="0" applyNumberFormat="1" applyFont="1" applyBorder="1" applyAlignment="1">
      <alignment horizontal="center" vertical="center"/>
    </xf>
    <xf numFmtId="4" fontId="17" fillId="0" borderId="14" xfId="0" applyNumberFormat="1" applyFont="1" applyBorder="1" applyAlignment="1">
      <alignment horizontal="left" vertical="center" wrapText="1"/>
    </xf>
    <xf numFmtId="2" fontId="12" fillId="0" borderId="14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/>
    <xf numFmtId="0" fontId="17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vertical="center" wrapText="1"/>
    </xf>
    <xf numFmtId="4" fontId="25" fillId="0" borderId="14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2" fontId="12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4" fontId="32" fillId="2" borderId="9" xfId="0" applyNumberFormat="1" applyFont="1" applyFill="1" applyBorder="1" applyAlignment="1">
      <alignment horizontal="right" vertical="center"/>
    </xf>
    <xf numFmtId="3" fontId="1" fillId="0" borderId="14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2" fontId="24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3" borderId="1" xfId="0" applyFont="1" applyFill="1" applyBorder="1" applyAlignment="1">
      <alignment vertical="center"/>
    </xf>
    <xf numFmtId="0" fontId="32" fillId="3" borderId="0" xfId="0" applyFont="1" applyFill="1" applyAlignment="1">
      <alignment vertical="center"/>
    </xf>
    <xf numFmtId="0" fontId="37" fillId="3" borderId="0" xfId="0" applyFont="1" applyFill="1"/>
    <xf numFmtId="0" fontId="32" fillId="3" borderId="6" xfId="0" applyFont="1" applyFill="1" applyBorder="1" applyAlignment="1">
      <alignment horizontal="left" vertical="center"/>
    </xf>
    <xf numFmtId="0" fontId="32" fillId="3" borderId="5" xfId="0" applyFont="1" applyFill="1" applyBorder="1" applyAlignment="1">
      <alignment horizontal="left" vertical="center"/>
    </xf>
    <xf numFmtId="0" fontId="32" fillId="3" borderId="5" xfId="0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0" fontId="37" fillId="0" borderId="0" xfId="0" applyFont="1"/>
    <xf numFmtId="0" fontId="32" fillId="0" borderId="0" xfId="0" applyFont="1" applyFill="1" applyBorder="1" applyAlignment="1">
      <alignment vertical="center"/>
    </xf>
    <xf numFmtId="0" fontId="32" fillId="0" borderId="0" xfId="0" applyFont="1"/>
    <xf numFmtId="0" fontId="38" fillId="3" borderId="1" xfId="0" applyFont="1" applyFill="1" applyBorder="1" applyAlignment="1">
      <alignment vertical="center"/>
    </xf>
    <xf numFmtId="0" fontId="38" fillId="3" borderId="0" xfId="0" applyFont="1" applyFill="1" applyAlignment="1">
      <alignment vertical="center"/>
    </xf>
    <xf numFmtId="0" fontId="31" fillId="3" borderId="0" xfId="0" applyFont="1" applyFill="1"/>
    <xf numFmtId="0" fontId="38" fillId="3" borderId="0" xfId="0" applyFont="1" applyFill="1" applyBorder="1" applyAlignment="1">
      <alignment horizontal="left" vertical="center" wrapText="1"/>
    </xf>
    <xf numFmtId="0" fontId="38" fillId="3" borderId="0" xfId="0" applyFont="1" applyFill="1" applyBorder="1" applyAlignment="1">
      <alignment horizontal="left" vertical="center"/>
    </xf>
    <xf numFmtId="0" fontId="38" fillId="3" borderId="6" xfId="0" applyFont="1" applyFill="1" applyBorder="1" applyAlignment="1">
      <alignment horizontal="left" vertical="center"/>
    </xf>
    <xf numFmtId="0" fontId="38" fillId="3" borderId="2" xfId="0" applyFont="1" applyFill="1" applyBorder="1" applyAlignment="1">
      <alignment vertical="center"/>
    </xf>
    <xf numFmtId="0" fontId="38" fillId="3" borderId="1" xfId="0" applyFont="1" applyFill="1" applyBorder="1" applyAlignment="1">
      <alignment horizontal="left" vertical="center"/>
    </xf>
    <xf numFmtId="4" fontId="38" fillId="2" borderId="10" xfId="0" applyNumberFormat="1" applyFont="1" applyFill="1" applyBorder="1" applyAlignment="1">
      <alignment horizontal="right" vertical="center"/>
    </xf>
    <xf numFmtId="0" fontId="38" fillId="0" borderId="0" xfId="0" applyFont="1" applyFill="1" applyBorder="1" applyAlignment="1">
      <alignment vertical="center"/>
    </xf>
    <xf numFmtId="0" fontId="31" fillId="0" borderId="0" xfId="0" applyFont="1"/>
    <xf numFmtId="0" fontId="38" fillId="2" borderId="11" xfId="0" applyFont="1" applyFill="1" applyBorder="1" applyAlignment="1">
      <alignment vertical="center"/>
    </xf>
    <xf numFmtId="164" fontId="38" fillId="0" borderId="0" xfId="0" applyNumberFormat="1" applyFont="1" applyFill="1" applyBorder="1" applyAlignment="1">
      <alignment horizontal="center" vertical="center"/>
    </xf>
    <xf numFmtId="2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3" borderId="14" xfId="0" applyFont="1" applyFill="1" applyBorder="1" applyAlignment="1">
      <alignment vertical="center" wrapText="1"/>
    </xf>
    <xf numFmtId="0" fontId="38" fillId="0" borderId="0" xfId="0" applyFont="1" applyFill="1" applyAlignment="1">
      <alignment vertical="center"/>
    </xf>
    <xf numFmtId="10" fontId="2" fillId="0" borderId="0" xfId="0" applyNumberFormat="1" applyFont="1" applyFill="1" applyAlignment="1">
      <alignment horizontal="center" vertical="center"/>
    </xf>
    <xf numFmtId="0" fontId="38" fillId="3" borderId="14" xfId="0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8" fillId="0" borderId="14" xfId="1" applyFont="1" applyFill="1" applyBorder="1" applyAlignment="1">
      <alignment horizontal="center" vertical="center" wrapText="1"/>
    </xf>
    <xf numFmtId="3" fontId="10" fillId="0" borderId="14" xfId="1" applyNumberFormat="1" applyFont="1" applyFill="1" applyBorder="1" applyAlignment="1">
      <alignment horizontal="center" vertical="center" wrapText="1"/>
    </xf>
    <xf numFmtId="4" fontId="17" fillId="0" borderId="14" xfId="0" applyNumberFormat="1" applyFont="1" applyFill="1" applyBorder="1" applyAlignment="1">
      <alignment horizontal="right" vertical="center"/>
    </xf>
    <xf numFmtId="4" fontId="17" fillId="0" borderId="14" xfId="0" applyNumberFormat="1" applyFont="1" applyFill="1" applyBorder="1" applyAlignment="1">
      <alignment vertical="center" wrapText="1"/>
    </xf>
    <xf numFmtId="4" fontId="17" fillId="0" borderId="14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2" fontId="30" fillId="0" borderId="14" xfId="0" applyNumberFormat="1" applyFont="1" applyBorder="1" applyAlignment="1">
      <alignment horizontal="center" vertical="center"/>
    </xf>
    <xf numFmtId="164" fontId="38" fillId="0" borderId="0" xfId="0" applyNumberFormat="1" applyFont="1" applyFill="1" applyBorder="1" applyAlignment="1">
      <alignment vertical="center"/>
    </xf>
    <xf numFmtId="4" fontId="17" fillId="4" borderId="14" xfId="0" applyNumberFormat="1" applyFont="1" applyFill="1" applyBorder="1" applyAlignment="1">
      <alignment vertical="center" wrapText="1"/>
    </xf>
    <xf numFmtId="4" fontId="17" fillId="4" borderId="14" xfId="0" applyNumberFormat="1" applyFont="1" applyFill="1" applyBorder="1" applyAlignment="1">
      <alignment vertical="center"/>
    </xf>
    <xf numFmtId="4" fontId="1" fillId="4" borderId="14" xfId="0" applyNumberFormat="1" applyFont="1" applyFill="1" applyBorder="1" applyAlignment="1">
      <alignment vertical="center"/>
    </xf>
    <xf numFmtId="1" fontId="17" fillId="0" borderId="14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left" vertical="center"/>
    </xf>
    <xf numFmtId="2" fontId="40" fillId="3" borderId="1" xfId="0" applyNumberFormat="1" applyFont="1" applyFill="1" applyBorder="1" applyAlignment="1">
      <alignment horizontal="left" vertical="center"/>
    </xf>
    <xf numFmtId="2" fontId="1" fillId="0" borderId="14" xfId="0" applyNumberFormat="1" applyFont="1" applyFill="1" applyBorder="1" applyAlignment="1">
      <alignment horizontal="left" vertical="center" wrapText="1"/>
    </xf>
    <xf numFmtId="2" fontId="41" fillId="0" borderId="14" xfId="1" applyNumberFormat="1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1" fillId="0" borderId="14" xfId="0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vertical="center"/>
    </xf>
    <xf numFmtId="0" fontId="38" fillId="3" borderId="2" xfId="0" applyFont="1" applyFill="1" applyBorder="1" applyAlignment="1">
      <alignment horizontal="left" vertical="center" wrapText="1"/>
    </xf>
    <xf numFmtId="0" fontId="38" fillId="3" borderId="3" xfId="0" applyFont="1" applyFill="1" applyBorder="1" applyAlignment="1">
      <alignment horizontal="left" vertical="center" wrapText="1"/>
    </xf>
    <xf numFmtId="0" fontId="38" fillId="3" borderId="6" xfId="0" applyFont="1" applyFill="1" applyBorder="1" applyAlignment="1">
      <alignment horizontal="left" vertical="center"/>
    </xf>
    <xf numFmtId="0" fontId="38" fillId="3" borderId="4" xfId="0" applyFont="1" applyFill="1" applyBorder="1" applyAlignment="1">
      <alignment horizontal="left" vertical="center" wrapText="1"/>
    </xf>
    <xf numFmtId="0" fontId="40" fillId="3" borderId="1" xfId="0" applyFont="1" applyFill="1" applyBorder="1" applyAlignment="1">
      <alignment horizontal="left" vertical="center" wrapText="1"/>
    </xf>
    <xf numFmtId="0" fontId="40" fillId="3" borderId="1" xfId="0" applyFont="1" applyFill="1" applyBorder="1" applyAlignment="1">
      <alignment vertical="center"/>
    </xf>
    <xf numFmtId="4" fontId="17" fillId="5" borderId="14" xfId="0" applyNumberFormat="1" applyFont="1" applyFill="1" applyBorder="1" applyAlignment="1">
      <alignment vertical="center" wrapText="1"/>
    </xf>
    <xf numFmtId="4" fontId="17" fillId="5" borderId="14" xfId="0" applyNumberFormat="1" applyFont="1" applyFill="1" applyBorder="1" applyAlignment="1">
      <alignment vertical="center"/>
    </xf>
    <xf numFmtId="4" fontId="1" fillId="5" borderId="14" xfId="0" applyNumberFormat="1" applyFont="1" applyFill="1" applyBorder="1" applyAlignment="1">
      <alignment horizontal="right" vertical="center" wrapText="1"/>
    </xf>
    <xf numFmtId="0" fontId="1" fillId="5" borderId="14" xfId="0" applyFont="1" applyFill="1" applyBorder="1" applyAlignment="1">
      <alignment horizontal="center" vertical="center" wrapText="1"/>
    </xf>
    <xf numFmtId="4" fontId="34" fillId="5" borderId="14" xfId="0" applyNumberFormat="1" applyFont="1" applyFill="1" applyBorder="1" applyAlignment="1">
      <alignment vertical="center"/>
    </xf>
    <xf numFmtId="0" fontId="38" fillId="3" borderId="1" xfId="0" applyFont="1" applyFill="1" applyBorder="1" applyAlignment="1">
      <alignment horizontal="left" vertical="center" wrapText="1"/>
    </xf>
    <xf numFmtId="0" fontId="44" fillId="0" borderId="0" xfId="0" applyFont="1" applyAlignment="1">
      <alignment vertical="center"/>
    </xf>
    <xf numFmtId="0" fontId="44" fillId="0" borderId="14" xfId="0" applyFont="1" applyBorder="1" applyAlignment="1">
      <alignment vertical="center"/>
    </xf>
    <xf numFmtId="0" fontId="18" fillId="0" borderId="14" xfId="0" applyFont="1" applyFill="1" applyBorder="1" applyAlignment="1">
      <alignment horizontal="left" vertical="center" wrapText="1"/>
    </xf>
    <xf numFmtId="4" fontId="44" fillId="0" borderId="14" xfId="0" applyNumberFormat="1" applyFont="1" applyBorder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49" fontId="18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/>
    </xf>
    <xf numFmtId="4" fontId="1" fillId="4" borderId="14" xfId="0" applyNumberFormat="1" applyFont="1" applyFill="1" applyBorder="1" applyAlignment="1">
      <alignment horizontal="right" vertical="center" wrapText="1"/>
    </xf>
    <xf numFmtId="1" fontId="12" fillId="4" borderId="14" xfId="0" applyNumberFormat="1" applyFont="1" applyFill="1" applyBorder="1" applyAlignment="1">
      <alignment horizontal="center" vertical="center"/>
    </xf>
    <xf numFmtId="2" fontId="12" fillId="4" borderId="16" xfId="0" applyNumberFormat="1" applyFont="1" applyFill="1" applyBorder="1" applyAlignment="1">
      <alignment horizontal="left" vertical="center" wrapText="1"/>
    </xf>
    <xf numFmtId="4" fontId="21" fillId="4" borderId="14" xfId="0" applyNumberFormat="1" applyFont="1" applyFill="1" applyBorder="1" applyAlignment="1">
      <alignment horizontal="right" vertical="center" wrapText="1"/>
    </xf>
    <xf numFmtId="4" fontId="12" fillId="4" borderId="14" xfId="0" applyNumberFormat="1" applyFont="1" applyFill="1" applyBorder="1" applyAlignment="1">
      <alignment horizontal="right" vertical="center" wrapText="1"/>
    </xf>
    <xf numFmtId="1" fontId="1" fillId="4" borderId="14" xfId="0" applyNumberFormat="1" applyFont="1" applyFill="1" applyBorder="1" applyAlignment="1">
      <alignment horizontal="center" vertical="center"/>
    </xf>
    <xf numFmtId="2" fontId="1" fillId="4" borderId="14" xfId="0" applyNumberFormat="1" applyFont="1" applyFill="1" applyBorder="1" applyAlignment="1">
      <alignment horizontal="left" vertical="center" wrapText="1"/>
    </xf>
    <xf numFmtId="4" fontId="1" fillId="4" borderId="14" xfId="0" applyNumberFormat="1" applyFont="1" applyFill="1" applyBorder="1" applyAlignment="1">
      <alignment horizontal="left" vertical="center" wrapText="1"/>
    </xf>
    <xf numFmtId="4" fontId="18" fillId="4" borderId="14" xfId="0" applyNumberFormat="1" applyFont="1" applyFill="1" applyBorder="1" applyAlignment="1">
      <alignment horizontal="right" vertical="center" wrapText="1"/>
    </xf>
    <xf numFmtId="4" fontId="17" fillId="4" borderId="14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vertical="center"/>
    </xf>
    <xf numFmtId="4" fontId="17" fillId="0" borderId="0" xfId="0" applyNumberFormat="1" applyFont="1" applyAlignment="1">
      <alignment vertical="center"/>
    </xf>
    <xf numFmtId="2" fontId="17" fillId="0" borderId="0" xfId="0" applyNumberFormat="1" applyFont="1" applyAlignment="1">
      <alignment vertical="center"/>
    </xf>
    <xf numFmtId="2" fontId="17" fillId="0" borderId="0" xfId="0" applyNumberFormat="1" applyFont="1" applyFill="1" applyAlignment="1">
      <alignment vertical="center"/>
    </xf>
    <xf numFmtId="0" fontId="40" fillId="3" borderId="6" xfId="0" applyFont="1" applyFill="1" applyBorder="1" applyAlignment="1">
      <alignment horizontal="left" vertical="center" wrapText="1"/>
    </xf>
    <xf numFmtId="4" fontId="32" fillId="0" borderId="0" xfId="0" applyNumberFormat="1" applyFont="1" applyFill="1" applyAlignment="1">
      <alignment vertical="center"/>
    </xf>
    <xf numFmtId="4" fontId="38" fillId="3" borderId="14" xfId="0" applyNumberFormat="1" applyFont="1" applyFill="1" applyBorder="1" applyAlignment="1">
      <alignment vertical="center" wrapText="1"/>
    </xf>
    <xf numFmtId="4" fontId="38" fillId="3" borderId="14" xfId="0" applyNumberFormat="1" applyFont="1" applyFill="1" applyBorder="1" applyAlignment="1">
      <alignment vertical="center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4" fontId="34" fillId="4" borderId="14" xfId="0" applyNumberFormat="1" applyFont="1" applyFill="1" applyBorder="1" applyAlignment="1">
      <alignment vertical="center"/>
    </xf>
    <xf numFmtId="2" fontId="1" fillId="0" borderId="14" xfId="0" applyNumberFormat="1" applyFont="1" applyFill="1" applyBorder="1" applyAlignment="1">
      <alignment horizontal="right" vertical="center" wrapText="1"/>
    </xf>
    <xf numFmtId="4" fontId="34" fillId="0" borderId="14" xfId="0" applyNumberFormat="1" applyFont="1" applyFill="1" applyBorder="1" applyAlignment="1">
      <alignment vertical="center"/>
    </xf>
    <xf numFmtId="3" fontId="1" fillId="4" borderId="14" xfId="0" applyNumberFormat="1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right" vertical="center"/>
    </xf>
    <xf numFmtId="4" fontId="30" fillId="0" borderId="14" xfId="0" applyNumberFormat="1" applyFont="1" applyBorder="1" applyAlignment="1">
      <alignment horizontal="center" vertical="center"/>
    </xf>
    <xf numFmtId="0" fontId="47" fillId="3" borderId="14" xfId="0" applyFont="1" applyFill="1" applyBorder="1" applyAlignment="1">
      <alignment vertical="center" wrapText="1"/>
    </xf>
    <xf numFmtId="0" fontId="47" fillId="3" borderId="14" xfId="0" applyFont="1" applyFill="1" applyBorder="1" applyAlignment="1">
      <alignment horizontal="right" vertical="center"/>
    </xf>
    <xf numFmtId="167" fontId="38" fillId="0" borderId="0" xfId="0" applyNumberFormat="1" applyFont="1" applyFill="1" applyBorder="1" applyAlignment="1">
      <alignment vertical="center"/>
    </xf>
    <xf numFmtId="168" fontId="24" fillId="0" borderId="0" xfId="0" applyNumberFormat="1" applyFont="1" applyFill="1" applyAlignment="1">
      <alignment horizontal="right"/>
    </xf>
    <xf numFmtId="2" fontId="37" fillId="3" borderId="0" xfId="0" applyNumberFormat="1" applyFont="1" applyFill="1"/>
    <xf numFmtId="0" fontId="1" fillId="0" borderId="12" xfId="0" applyFont="1" applyFill="1" applyBorder="1" applyAlignment="1">
      <alignment horizontal="right" vertical="center"/>
    </xf>
    <xf numFmtId="0" fontId="38" fillId="6" borderId="11" xfId="0" applyFont="1" applyFill="1" applyBorder="1" applyAlignment="1">
      <alignment vertical="center"/>
    </xf>
    <xf numFmtId="4" fontId="32" fillId="6" borderId="9" xfId="0" applyNumberFormat="1" applyFont="1" applyFill="1" applyBorder="1" applyAlignment="1">
      <alignment horizontal="right" vertical="center"/>
    </xf>
    <xf numFmtId="4" fontId="38" fillId="6" borderId="10" xfId="0" applyNumberFormat="1" applyFont="1" applyFill="1" applyBorder="1" applyAlignment="1">
      <alignment horizontal="right" vertical="center"/>
    </xf>
    <xf numFmtId="0" fontId="38" fillId="6" borderId="11" xfId="0" applyFont="1" applyFill="1" applyBorder="1" applyAlignment="1">
      <alignment vertical="center" wrapText="1"/>
    </xf>
    <xf numFmtId="165" fontId="38" fillId="6" borderId="9" xfId="0" applyNumberFormat="1" applyFont="1" applyFill="1" applyBorder="1" applyAlignment="1">
      <alignment horizontal="right" vertical="center"/>
    </xf>
    <xf numFmtId="4" fontId="38" fillId="6" borderId="9" xfId="0" applyNumberFormat="1" applyFont="1" applyFill="1" applyBorder="1" applyAlignment="1">
      <alignment horizontal="right" vertical="center"/>
    </xf>
    <xf numFmtId="4" fontId="38" fillId="6" borderId="24" xfId="0" applyNumberFormat="1" applyFont="1" applyFill="1" applyBorder="1" applyAlignment="1">
      <alignment horizontal="right" vertical="center"/>
    </xf>
    <xf numFmtId="0" fontId="39" fillId="6" borderId="8" xfId="0" applyFont="1" applyFill="1" applyBorder="1" applyAlignment="1">
      <alignment horizontal="center" vertical="center"/>
    </xf>
    <xf numFmtId="0" fontId="38" fillId="6" borderId="8" xfId="0" applyFont="1" applyFill="1" applyBorder="1" applyAlignment="1">
      <alignment horizontal="center" vertical="center"/>
    </xf>
    <xf numFmtId="4" fontId="38" fillId="0" borderId="0" xfId="0" applyNumberFormat="1" applyFont="1" applyFill="1" applyAlignment="1">
      <alignment vertical="center"/>
    </xf>
    <xf numFmtId="0" fontId="11" fillId="0" borderId="14" xfId="0" applyFont="1" applyBorder="1" applyAlignment="1">
      <alignment vertical="center"/>
    </xf>
    <xf numFmtId="0" fontId="43" fillId="0" borderId="14" xfId="0" applyFont="1" applyBorder="1" applyAlignment="1">
      <alignment vertical="center"/>
    </xf>
    <xf numFmtId="0" fontId="48" fillId="0" borderId="14" xfId="0" applyFont="1" applyBorder="1" applyAlignment="1">
      <alignment vertical="center"/>
    </xf>
    <xf numFmtId="4" fontId="43" fillId="0" borderId="14" xfId="0" applyNumberFormat="1" applyFont="1" applyBorder="1" applyAlignment="1">
      <alignment vertical="center"/>
    </xf>
    <xf numFmtId="0" fontId="38" fillId="3" borderId="5" xfId="0" applyFont="1" applyFill="1" applyBorder="1" applyAlignment="1">
      <alignment horizontal="left" vertical="center"/>
    </xf>
    <xf numFmtId="4" fontId="37" fillId="0" borderId="0" xfId="0" applyNumberFormat="1" applyFont="1"/>
    <xf numFmtId="2" fontId="38" fillId="6" borderId="17" xfId="0" applyNumberFormat="1" applyFont="1" applyFill="1" applyBorder="1" applyAlignment="1">
      <alignment horizontal="left" vertical="center" wrapText="1"/>
    </xf>
    <xf numFmtId="0" fontId="46" fillId="6" borderId="9" xfId="0" applyFont="1" applyFill="1" applyBorder="1" applyAlignment="1">
      <alignment horizontal="left" vertical="center" wrapText="1"/>
    </xf>
    <xf numFmtId="2" fontId="38" fillId="6" borderId="25" xfId="0" applyNumberFormat="1" applyFont="1" applyFill="1" applyBorder="1" applyAlignment="1">
      <alignment horizontal="left" vertical="center" wrapText="1"/>
    </xf>
    <xf numFmtId="0" fontId="46" fillId="6" borderId="26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right"/>
    </xf>
    <xf numFmtId="0" fontId="38" fillId="3" borderId="14" xfId="0" applyFont="1" applyFill="1" applyBorder="1" applyAlignment="1">
      <alignment horizontal="left" vertical="center"/>
    </xf>
    <xf numFmtId="0" fontId="47" fillId="3" borderId="14" xfId="0" applyFont="1" applyFill="1" applyBorder="1" applyAlignment="1">
      <alignment horizontal="left" vertical="center"/>
    </xf>
    <xf numFmtId="2" fontId="38" fillId="6" borderId="9" xfId="0" applyNumberFormat="1" applyFont="1" applyFill="1" applyBorder="1" applyAlignment="1">
      <alignment horizontal="left" vertical="center" wrapText="1"/>
    </xf>
    <xf numFmtId="4" fontId="38" fillId="3" borderId="14" xfId="0" applyNumberFormat="1" applyFont="1" applyFill="1" applyBorder="1" applyAlignment="1">
      <alignment horizontal="left" vertical="center" wrapText="1"/>
    </xf>
    <xf numFmtId="2" fontId="38" fillId="6" borderId="23" xfId="0" applyNumberFormat="1" applyFont="1" applyFill="1" applyBorder="1" applyAlignment="1">
      <alignment horizontal="left" vertical="center" wrapText="1"/>
    </xf>
    <xf numFmtId="2" fontId="38" fillId="6" borderId="24" xfId="0" applyNumberFormat="1" applyFont="1" applyFill="1" applyBorder="1" applyAlignment="1">
      <alignment horizontal="left" vertical="center" wrapText="1"/>
    </xf>
    <xf numFmtId="4" fontId="38" fillId="3" borderId="19" xfId="0" applyNumberFormat="1" applyFont="1" applyFill="1" applyBorder="1" applyAlignment="1">
      <alignment horizontal="left" vertical="center" wrapText="1"/>
    </xf>
    <xf numFmtId="4" fontId="38" fillId="3" borderId="21" xfId="0" applyNumberFormat="1" applyFont="1" applyFill="1" applyBorder="1" applyAlignment="1">
      <alignment horizontal="left" vertical="center" wrapText="1"/>
    </xf>
    <xf numFmtId="0" fontId="38" fillId="3" borderId="2" xfId="0" applyFont="1" applyFill="1" applyBorder="1" applyAlignment="1">
      <alignment horizontal="left" vertical="center"/>
    </xf>
    <xf numFmtId="0" fontId="38" fillId="3" borderId="3" xfId="0" applyFont="1" applyFill="1" applyBorder="1" applyAlignment="1">
      <alignment horizontal="left" vertical="center"/>
    </xf>
    <xf numFmtId="0" fontId="38" fillId="3" borderId="4" xfId="0" applyFont="1" applyFill="1" applyBorder="1" applyAlignment="1">
      <alignment horizontal="left" vertical="center"/>
    </xf>
    <xf numFmtId="0" fontId="38" fillId="3" borderId="2" xfId="0" applyFont="1" applyFill="1" applyBorder="1" applyAlignment="1">
      <alignment horizontal="left" vertical="center" wrapText="1"/>
    </xf>
    <xf numFmtId="0" fontId="38" fillId="3" borderId="3" xfId="0" applyFont="1" applyFill="1" applyBorder="1" applyAlignment="1">
      <alignment horizontal="left" vertical="center" wrapText="1"/>
    </xf>
    <xf numFmtId="0" fontId="38" fillId="3" borderId="5" xfId="0" applyFont="1" applyFill="1" applyBorder="1" applyAlignment="1">
      <alignment horizontal="left" vertical="center"/>
    </xf>
    <xf numFmtId="0" fontId="38" fillId="3" borderId="6" xfId="0" applyFont="1" applyFill="1" applyBorder="1" applyAlignment="1">
      <alignment horizontal="left" vertical="center"/>
    </xf>
    <xf numFmtId="0" fontId="38" fillId="3" borderId="4" xfId="0" applyFont="1" applyFill="1" applyBorder="1" applyAlignment="1">
      <alignment horizontal="left" vertical="center" wrapText="1"/>
    </xf>
    <xf numFmtId="0" fontId="38" fillId="3" borderId="5" xfId="0" applyFont="1" applyFill="1" applyBorder="1" applyAlignment="1">
      <alignment horizontal="center" vertical="center"/>
    </xf>
    <xf numFmtId="0" fontId="38" fillId="3" borderId="6" xfId="0" applyFont="1" applyFill="1" applyBorder="1" applyAlignment="1">
      <alignment horizontal="center" vertical="center"/>
    </xf>
    <xf numFmtId="0" fontId="38" fillId="3" borderId="5" xfId="0" applyFont="1" applyFill="1" applyBorder="1" applyAlignment="1">
      <alignment horizontal="center" vertical="center" wrapText="1"/>
    </xf>
    <xf numFmtId="0" fontId="38" fillId="3" borderId="22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22" xfId="0" applyFont="1" applyFill="1" applyBorder="1" applyAlignment="1">
      <alignment horizontal="center" vertical="center"/>
    </xf>
    <xf numFmtId="0" fontId="32" fillId="3" borderId="3" xfId="0" applyFont="1" applyFill="1" applyBorder="1" applyAlignment="1">
      <alignment horizontal="center" vertical="center"/>
    </xf>
    <xf numFmtId="0" fontId="32" fillId="3" borderId="4" xfId="0" applyFont="1" applyFill="1" applyBorder="1" applyAlignment="1">
      <alignment horizontal="center" vertical="center"/>
    </xf>
    <xf numFmtId="2" fontId="40" fillId="3" borderId="5" xfId="0" applyNumberFormat="1" applyFont="1" applyFill="1" applyBorder="1" applyAlignment="1">
      <alignment horizontal="center" vertical="center" wrapText="1"/>
    </xf>
    <xf numFmtId="2" fontId="40" fillId="3" borderId="6" xfId="0" applyNumberFormat="1" applyFont="1" applyFill="1" applyBorder="1" applyAlignment="1">
      <alignment horizontal="center" vertical="center"/>
    </xf>
    <xf numFmtId="2" fontId="38" fillId="2" borderId="17" xfId="0" applyNumberFormat="1" applyFont="1" applyFill="1" applyBorder="1" applyAlignment="1">
      <alignment horizontal="left" vertical="center" wrapText="1"/>
    </xf>
    <xf numFmtId="2" fontId="38" fillId="2" borderId="9" xfId="0" applyNumberFormat="1" applyFont="1" applyFill="1" applyBorder="1" applyAlignment="1">
      <alignment horizontal="left" vertical="center" wrapText="1"/>
    </xf>
    <xf numFmtId="0" fontId="39" fillId="6" borderId="7" xfId="0" applyFont="1" applyFill="1" applyBorder="1" applyAlignment="1">
      <alignment horizontal="center" vertical="center"/>
    </xf>
    <xf numFmtId="0" fontId="39" fillId="6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7" fillId="0" borderId="0" xfId="1" applyFont="1" applyFill="1" applyAlignment="1">
      <alignment horizontal="left" wrapText="1"/>
    </xf>
    <xf numFmtId="0" fontId="28" fillId="0" borderId="14" xfId="1" applyFont="1" applyFill="1" applyBorder="1" applyAlignment="1">
      <alignment horizontal="center" vertical="center" wrapText="1"/>
    </xf>
    <xf numFmtId="0" fontId="26" fillId="0" borderId="0" xfId="1" applyFont="1" applyFill="1" applyAlignment="1">
      <alignment horizontal="left"/>
    </xf>
    <xf numFmtId="0" fontId="36" fillId="0" borderId="12" xfId="0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1" fillId="0" borderId="14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3"/>
    <cellStyle name="Обычный 3" xfId="4"/>
    <cellStyle name="Обычный_S2-ETAL" xfId="2"/>
    <cellStyle name="Обычный_Объек-1" xfId="1"/>
  </cellStyles>
  <dxfs count="0"/>
  <tableStyles count="0" defaultTableStyle="TableStyleMedium2" defaultPivotStyle="PivotStyleLight16"/>
  <colors>
    <mruColors>
      <color rgb="FF0000FF"/>
      <color rgb="FFEAD5FF"/>
      <color rgb="FFFF00FF"/>
      <color rgb="FF9900FF"/>
      <color rgb="FF5E0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2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99155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32131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3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131540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60706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.vsd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1.vsd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9"/>
  <sheetViews>
    <sheetView tabSelected="1" view="pageBreakPreview" topLeftCell="A21" zoomScaleNormal="100" zoomScaleSheetLayoutView="100" workbookViewId="0">
      <selection activeCell="H33" sqref="H33"/>
    </sheetView>
  </sheetViews>
  <sheetFormatPr defaultRowHeight="14.25"/>
  <cols>
    <col min="1" max="1" width="30.42578125" style="137" customWidth="1"/>
    <col min="2" max="2" width="19.28515625" style="137" customWidth="1"/>
    <col min="3" max="3" width="32.5703125" style="137" customWidth="1"/>
    <col min="4" max="4" width="9.28515625" style="137" bestFit="1" customWidth="1"/>
    <col min="5" max="5" width="10.85546875" style="137" customWidth="1"/>
    <col min="6" max="6" width="11.140625" style="137" customWidth="1"/>
    <col min="7" max="7" width="6.42578125" style="137" bestFit="1" customWidth="1"/>
    <col min="8" max="8" width="6.7109375" style="137" customWidth="1"/>
    <col min="9" max="9" width="14.140625" style="137" customWidth="1"/>
    <col min="10" max="16384" width="9.140625" style="137"/>
  </cols>
  <sheetData>
    <row r="1" spans="1:8" s="142" customFormat="1" ht="20.100000000000001" customHeight="1">
      <c r="A1" s="140" t="s">
        <v>112</v>
      </c>
      <c r="B1" s="268" t="s">
        <v>138</v>
      </c>
      <c r="C1" s="269"/>
      <c r="D1" s="269"/>
      <c r="E1" s="270"/>
      <c r="F1" s="141"/>
      <c r="G1" s="141"/>
      <c r="H1" s="141"/>
    </row>
    <row r="2" spans="1:8" s="142" customFormat="1" ht="28.5" customHeight="1">
      <c r="A2" s="273" t="s">
        <v>113</v>
      </c>
      <c r="B2" s="271" t="s">
        <v>114</v>
      </c>
      <c r="C2" s="272"/>
      <c r="D2" s="269"/>
      <c r="E2" s="270"/>
      <c r="F2" s="271"/>
      <c r="G2" s="269"/>
      <c r="H2" s="270"/>
    </row>
    <row r="3" spans="1:8" s="142" customFormat="1" ht="29.25" customHeight="1">
      <c r="A3" s="274"/>
      <c r="B3" s="271" t="s">
        <v>115</v>
      </c>
      <c r="C3" s="272"/>
      <c r="D3" s="272"/>
      <c r="E3" s="275"/>
      <c r="F3" s="143"/>
      <c r="G3" s="144"/>
      <c r="H3" s="144"/>
    </row>
    <row r="4" spans="1:8" s="142" customFormat="1" ht="17.25" customHeight="1">
      <c r="A4" s="188"/>
      <c r="B4" s="186" t="s">
        <v>116</v>
      </c>
      <c r="C4" s="187"/>
      <c r="D4" s="187"/>
      <c r="E4" s="189"/>
      <c r="F4" s="143"/>
      <c r="G4" s="144"/>
      <c r="H4" s="144"/>
    </row>
    <row r="5" spans="1:8" s="142" customFormat="1" ht="20.100000000000001" customHeight="1">
      <c r="A5" s="140" t="s">
        <v>117</v>
      </c>
      <c r="B5" s="268" t="s">
        <v>118</v>
      </c>
      <c r="C5" s="269"/>
      <c r="D5" s="269"/>
      <c r="E5" s="270"/>
      <c r="F5" s="141"/>
      <c r="G5" s="141"/>
      <c r="H5" s="141"/>
    </row>
    <row r="6" spans="1:8" s="142" customFormat="1" ht="20.100000000000001" customHeight="1">
      <c r="A6" s="140" t="s">
        <v>103</v>
      </c>
      <c r="B6" s="268" t="s">
        <v>119</v>
      </c>
      <c r="C6" s="269"/>
      <c r="D6" s="269"/>
      <c r="E6" s="270"/>
      <c r="F6" s="141"/>
      <c r="G6" s="141"/>
      <c r="H6" s="141"/>
    </row>
    <row r="7" spans="1:8" s="142" customFormat="1" ht="20.100000000000001" customHeight="1">
      <c r="A7" s="140" t="s">
        <v>30</v>
      </c>
      <c r="B7" s="268" t="s">
        <v>129</v>
      </c>
      <c r="C7" s="269"/>
      <c r="D7" s="269"/>
      <c r="E7" s="270"/>
      <c r="F7" s="141"/>
      <c r="G7" s="141"/>
      <c r="H7" s="141"/>
    </row>
    <row r="8" spans="1:8" s="142" customFormat="1" ht="20.100000000000001" customHeight="1">
      <c r="A8" s="140" t="s">
        <v>31</v>
      </c>
      <c r="B8" s="268" t="s">
        <v>130</v>
      </c>
      <c r="C8" s="269"/>
      <c r="D8" s="269"/>
      <c r="E8" s="270"/>
      <c r="F8" s="141"/>
      <c r="G8" s="141"/>
      <c r="H8" s="141"/>
    </row>
    <row r="9" spans="1:8" s="142" customFormat="1" ht="20.100000000000001" customHeight="1">
      <c r="A9" s="140" t="s">
        <v>32</v>
      </c>
      <c r="B9" s="268" t="s">
        <v>129</v>
      </c>
      <c r="C9" s="269"/>
      <c r="D9" s="269"/>
      <c r="E9" s="270"/>
      <c r="F9" s="141"/>
      <c r="G9" s="141"/>
      <c r="H9" s="141"/>
    </row>
    <row r="10" spans="1:8" s="142" customFormat="1" ht="39" customHeight="1">
      <c r="A10" s="145" t="s">
        <v>0</v>
      </c>
      <c r="B10" s="271" t="s">
        <v>154</v>
      </c>
      <c r="C10" s="272"/>
      <c r="D10" s="272"/>
      <c r="E10" s="275"/>
      <c r="F10" s="141"/>
      <c r="G10" s="141"/>
      <c r="H10" s="141"/>
    </row>
    <row r="11" spans="1:8" s="132" customFormat="1">
      <c r="A11" s="133"/>
      <c r="B11" s="146" t="s">
        <v>157</v>
      </c>
      <c r="C11" s="282"/>
      <c r="D11" s="282"/>
      <c r="E11" s="283"/>
      <c r="F11" s="131"/>
      <c r="G11" s="131"/>
      <c r="H11" s="131"/>
    </row>
    <row r="12" spans="1:8" s="132" customFormat="1" ht="25.5">
      <c r="A12" s="197" t="s">
        <v>120</v>
      </c>
      <c r="B12" s="147">
        <v>47.51</v>
      </c>
      <c r="C12" s="278" t="s">
        <v>158</v>
      </c>
      <c r="D12" s="276" t="s">
        <v>159</v>
      </c>
      <c r="E12" s="130"/>
      <c r="F12" s="131"/>
      <c r="G12" s="131"/>
      <c r="H12" s="131"/>
    </row>
    <row r="13" spans="1:8" s="132" customFormat="1" ht="25.5">
      <c r="A13" s="197" t="s">
        <v>121</v>
      </c>
      <c r="B13" s="147">
        <v>9.66</v>
      </c>
      <c r="C13" s="279"/>
      <c r="D13" s="281"/>
      <c r="E13" s="130"/>
      <c r="F13" s="131"/>
      <c r="G13" s="131"/>
      <c r="H13" s="131"/>
    </row>
    <row r="14" spans="1:8" s="132" customFormat="1" ht="38.25">
      <c r="A14" s="197" t="s">
        <v>122</v>
      </c>
      <c r="B14" s="147">
        <v>15.6</v>
      </c>
      <c r="C14" s="280"/>
      <c r="D14" s="277"/>
      <c r="E14" s="130"/>
      <c r="F14" s="131"/>
      <c r="G14" s="131"/>
      <c r="H14" s="131"/>
    </row>
    <row r="15" spans="1:8" s="132" customFormat="1" ht="36.75" customHeight="1">
      <c r="A15" s="190" t="s">
        <v>123</v>
      </c>
      <c r="B15" s="178">
        <v>14.17</v>
      </c>
      <c r="C15" s="284" t="s">
        <v>160</v>
      </c>
      <c r="D15" s="191" t="s">
        <v>108</v>
      </c>
      <c r="E15" s="130"/>
      <c r="F15" s="131"/>
      <c r="G15" s="131"/>
      <c r="H15" s="131"/>
    </row>
    <row r="16" spans="1:8" s="132" customFormat="1" ht="38.25">
      <c r="A16" s="221" t="s">
        <v>125</v>
      </c>
      <c r="B16" s="177">
        <v>5.34</v>
      </c>
      <c r="C16" s="285"/>
      <c r="D16" s="191" t="s">
        <v>124</v>
      </c>
      <c r="E16" s="130"/>
      <c r="F16" s="131"/>
      <c r="G16" s="131"/>
      <c r="H16" s="131"/>
    </row>
    <row r="17" spans="1:11" s="132" customFormat="1" ht="14.25" customHeight="1">
      <c r="A17" s="147" t="s">
        <v>1</v>
      </c>
      <c r="B17" s="147">
        <v>5.36</v>
      </c>
      <c r="C17" s="278" t="s">
        <v>161</v>
      </c>
      <c r="D17" s="276" t="s">
        <v>126</v>
      </c>
      <c r="E17" s="140">
        <v>1.266</v>
      </c>
      <c r="F17" s="131"/>
      <c r="G17" s="131"/>
      <c r="H17" s="131"/>
    </row>
    <row r="18" spans="1:11" s="132" customFormat="1">
      <c r="A18" s="147" t="s">
        <v>2</v>
      </c>
      <c r="B18" s="147">
        <v>5.32</v>
      </c>
      <c r="C18" s="277"/>
      <c r="D18" s="277"/>
      <c r="E18" s="140">
        <v>1.19</v>
      </c>
      <c r="F18" s="131"/>
      <c r="G18" s="131"/>
      <c r="H18" s="131"/>
    </row>
    <row r="19" spans="1:11" s="132" customFormat="1">
      <c r="A19" s="133" t="s">
        <v>59</v>
      </c>
      <c r="B19" s="134"/>
      <c r="C19" s="134"/>
      <c r="D19" s="135"/>
      <c r="E19" s="135"/>
      <c r="F19" s="131"/>
      <c r="G19" s="131"/>
      <c r="H19" s="131"/>
    </row>
    <row r="20" spans="1:11" s="132" customFormat="1">
      <c r="A20" s="145" t="s">
        <v>3</v>
      </c>
      <c r="B20" s="253">
        <v>6.92</v>
      </c>
      <c r="C20" s="134"/>
      <c r="D20" s="135"/>
      <c r="E20" s="135"/>
      <c r="F20" s="131" t="s">
        <v>135</v>
      </c>
      <c r="G20" s="131"/>
      <c r="H20" s="131"/>
      <c r="I20" s="237">
        <v>1338.07</v>
      </c>
      <c r="J20" s="132" t="s">
        <v>137</v>
      </c>
      <c r="K20" s="132">
        <f>I20/1000</f>
        <v>1.3380700000000001</v>
      </c>
    </row>
    <row r="21" spans="1:11">
      <c r="A21" s="288" t="s">
        <v>4</v>
      </c>
      <c r="B21" s="289"/>
      <c r="C21" s="246"/>
      <c r="D21" s="247" t="s">
        <v>5</v>
      </c>
      <c r="E21" s="247" t="s">
        <v>6</v>
      </c>
      <c r="F21" s="136"/>
      <c r="G21" s="136"/>
      <c r="H21" s="136"/>
      <c r="I21" s="137">
        <v>212</v>
      </c>
      <c r="J21" s="137" t="s">
        <v>137</v>
      </c>
      <c r="K21" s="132">
        <f t="shared" ref="K21:K22" si="0">I21/1000</f>
        <v>0.21199999999999999</v>
      </c>
    </row>
    <row r="22" spans="1:11" ht="30" hidden="1" customHeight="1">
      <c r="A22" s="151" t="s">
        <v>104</v>
      </c>
      <c r="B22" s="286" t="s">
        <v>107</v>
      </c>
      <c r="C22" s="287"/>
      <c r="D22" s="123"/>
      <c r="E22" s="148">
        <v>0</v>
      </c>
      <c r="F22" s="169"/>
      <c r="G22" s="154"/>
      <c r="H22" s="138"/>
      <c r="I22" s="139"/>
      <c r="K22" s="132">
        <f t="shared" si="0"/>
        <v>0</v>
      </c>
    </row>
    <row r="23" spans="1:11" ht="30" customHeight="1">
      <c r="A23" s="239" t="s">
        <v>139</v>
      </c>
      <c r="B23" s="255" t="s">
        <v>167</v>
      </c>
      <c r="C23" s="262"/>
      <c r="D23" s="240"/>
      <c r="E23" s="241">
        <f>101509/1000</f>
        <v>101.51</v>
      </c>
      <c r="F23" s="235">
        <v>0.21199999999999999</v>
      </c>
      <c r="G23" s="154"/>
      <c r="H23" s="138"/>
      <c r="I23" s="139"/>
    </row>
    <row r="24" spans="1:11" s="150" customFormat="1" ht="60" customHeight="1">
      <c r="A24" s="242" t="s">
        <v>127</v>
      </c>
      <c r="B24" s="255" t="s">
        <v>141</v>
      </c>
      <c r="C24" s="262"/>
      <c r="D24" s="243">
        <v>2.4</v>
      </c>
      <c r="E24" s="241" t="s">
        <v>7</v>
      </c>
      <c r="F24" s="152">
        <v>0.8</v>
      </c>
      <c r="G24" s="153">
        <f>D24*F24</f>
        <v>1.92</v>
      </c>
      <c r="H24" s="149"/>
    </row>
    <row r="25" spans="1:11" s="150" customFormat="1" ht="20.100000000000001" customHeight="1">
      <c r="A25" s="239" t="s">
        <v>82</v>
      </c>
      <c r="B25" s="255" t="s">
        <v>81</v>
      </c>
      <c r="C25" s="262"/>
      <c r="D25" s="244"/>
      <c r="E25" s="244">
        <v>3674.86</v>
      </c>
      <c r="F25" s="156"/>
      <c r="G25" s="156"/>
      <c r="H25" s="156"/>
    </row>
    <row r="26" spans="1:11" s="150" customFormat="1" ht="39" customHeight="1">
      <c r="A26" s="239" t="s">
        <v>140</v>
      </c>
      <c r="B26" s="255" t="s">
        <v>131</v>
      </c>
      <c r="C26" s="256"/>
      <c r="D26" s="244"/>
      <c r="E26" s="244">
        <f>264.35/1000</f>
        <v>0.26</v>
      </c>
      <c r="F26" s="156"/>
      <c r="G26" s="156"/>
      <c r="H26" s="156"/>
    </row>
    <row r="27" spans="1:11" s="150" customFormat="1" ht="32.25" customHeight="1">
      <c r="A27" s="239" t="s">
        <v>140</v>
      </c>
      <c r="B27" s="255" t="s">
        <v>132</v>
      </c>
      <c r="C27" s="262"/>
      <c r="D27" s="244"/>
      <c r="E27" s="244">
        <f>620015.01/1000</f>
        <v>620.02</v>
      </c>
      <c r="F27" s="156"/>
      <c r="G27" s="156"/>
      <c r="H27" s="156"/>
    </row>
    <row r="28" spans="1:11" ht="47.25" hidden="1" customHeight="1">
      <c r="A28" s="239" t="s">
        <v>140</v>
      </c>
      <c r="B28" s="264" t="s">
        <v>97</v>
      </c>
      <c r="C28" s="265"/>
      <c r="D28" s="245"/>
      <c r="E28" s="244">
        <v>0</v>
      </c>
      <c r="F28" s="136"/>
      <c r="G28" s="136"/>
      <c r="H28" s="136"/>
    </row>
    <row r="29" spans="1:11" s="150" customFormat="1" ht="23.25" customHeight="1">
      <c r="A29" s="239" t="s">
        <v>140</v>
      </c>
      <c r="B29" s="257" t="s">
        <v>133</v>
      </c>
      <c r="C29" s="258"/>
      <c r="D29" s="244"/>
      <c r="E29" s="244">
        <f>10534.33/1000</f>
        <v>10.53</v>
      </c>
      <c r="F29" s="248"/>
      <c r="G29" s="156"/>
      <c r="H29" s="156"/>
    </row>
    <row r="30" spans="1:11" s="150" customFormat="1" ht="30" customHeight="1">
      <c r="A30" s="233" t="s">
        <v>110</v>
      </c>
      <c r="B30" s="261" t="s">
        <v>55</v>
      </c>
      <c r="C30" s="261"/>
      <c r="D30" s="234">
        <v>2.14</v>
      </c>
      <c r="E30" s="234" t="s">
        <v>7</v>
      </c>
      <c r="F30" s="156"/>
      <c r="G30" s="156"/>
      <c r="H30" s="156"/>
    </row>
    <row r="31" spans="1:11" s="150" customFormat="1" ht="38.25">
      <c r="A31" s="155" t="s">
        <v>72</v>
      </c>
      <c r="B31" s="260" t="s">
        <v>73</v>
      </c>
      <c r="C31" s="260"/>
      <c r="D31" s="231">
        <v>0.2</v>
      </c>
      <c r="E31" s="231" t="s">
        <v>7</v>
      </c>
      <c r="F31" s="156"/>
      <c r="G31" s="156"/>
      <c r="H31" s="156"/>
    </row>
    <row r="32" spans="1:11" ht="48.75" customHeight="1">
      <c r="A32" s="223" t="s">
        <v>162</v>
      </c>
      <c r="B32" s="263" t="s">
        <v>111</v>
      </c>
      <c r="C32" s="263"/>
      <c r="D32" s="224">
        <f>(40562.79+45552.97+41555.56+58581.89)/1000</f>
        <v>186.25</v>
      </c>
      <c r="E32" s="224">
        <f>(217416.55+244163.9+222727.81+313998.93)/1000</f>
        <v>998.31</v>
      </c>
      <c r="F32" s="136"/>
      <c r="G32" s="136"/>
      <c r="H32" s="136">
        <f>E32/B17</f>
        <v>186.25186567164201</v>
      </c>
    </row>
    <row r="33" spans="1:9" ht="41.25" customHeight="1">
      <c r="A33" s="223" t="s">
        <v>163</v>
      </c>
      <c r="B33" s="266" t="s">
        <v>98</v>
      </c>
      <c r="C33" s="267"/>
      <c r="D33" s="224">
        <f>108158.08/1000</f>
        <v>108.16</v>
      </c>
      <c r="E33" s="224">
        <f>575401/1000</f>
        <v>575.4</v>
      </c>
      <c r="F33" s="136"/>
      <c r="G33" s="136"/>
      <c r="H33" s="136">
        <f>E33/B18</f>
        <v>108.157894736842</v>
      </c>
    </row>
    <row r="34" spans="1:9" ht="54" customHeight="1">
      <c r="A34" s="223" t="s">
        <v>164</v>
      </c>
      <c r="B34" s="266" t="s">
        <v>100</v>
      </c>
      <c r="C34" s="267"/>
      <c r="D34" s="224">
        <f>162234.96/1000</f>
        <v>162.22999999999999</v>
      </c>
      <c r="E34" s="224">
        <f>863090/1000</f>
        <v>863.09</v>
      </c>
      <c r="F34" s="222">
        <f>E32+E33+E34</f>
        <v>2436.8000000000002</v>
      </c>
      <c r="G34" s="136"/>
      <c r="H34" s="136"/>
      <c r="I34" s="254">
        <f>D32+D33+D34</f>
        <v>456.64</v>
      </c>
    </row>
    <row r="35" spans="1:9" ht="25.5">
      <c r="A35" s="223" t="s">
        <v>128</v>
      </c>
      <c r="B35" s="266" t="s">
        <v>99</v>
      </c>
      <c r="C35" s="267"/>
      <c r="D35" s="224"/>
      <c r="E35" s="224"/>
      <c r="F35" s="136">
        <v>134.47</v>
      </c>
      <c r="G35" s="136">
        <v>578.94000000000005</v>
      </c>
      <c r="H35" s="136"/>
      <c r="I35" s="254">
        <f>E32+E33+E34+E35</f>
        <v>2436.8000000000002</v>
      </c>
    </row>
    <row r="36" spans="1:9" s="150" customFormat="1" ht="38.25">
      <c r="A36" s="155" t="s">
        <v>74</v>
      </c>
      <c r="B36" s="260" t="s">
        <v>58</v>
      </c>
      <c r="C36" s="260"/>
      <c r="D36" s="158">
        <v>3</v>
      </c>
      <c r="E36" s="158">
        <v>0.03</v>
      </c>
      <c r="F36" s="141">
        <v>3</v>
      </c>
    </row>
    <row r="38" spans="1:9">
      <c r="A38" s="259" t="s">
        <v>49</v>
      </c>
      <c r="B38" s="259"/>
      <c r="C38" s="259"/>
      <c r="D38" s="167" t="s">
        <v>5</v>
      </c>
      <c r="E38" s="167" t="s">
        <v>75</v>
      </c>
    </row>
    <row r="39" spans="1:9" ht="15" customHeight="1">
      <c r="A39" s="259"/>
      <c r="B39" s="259"/>
      <c r="C39" s="259"/>
      <c r="D39" s="232">
        <v>47.95</v>
      </c>
      <c r="E39" s="168">
        <v>555.78</v>
      </c>
    </row>
  </sheetData>
  <mergeCells count="35">
    <mergeCell ref="B25:C25"/>
    <mergeCell ref="B24:C24"/>
    <mergeCell ref="C15:C16"/>
    <mergeCell ref="C17:C18"/>
    <mergeCell ref="B22:C22"/>
    <mergeCell ref="A21:B21"/>
    <mergeCell ref="B23:C23"/>
    <mergeCell ref="D17:D18"/>
    <mergeCell ref="C12:C14"/>
    <mergeCell ref="D12:D14"/>
    <mergeCell ref="F2:H2"/>
    <mergeCell ref="B7:E7"/>
    <mergeCell ref="B10:E10"/>
    <mergeCell ref="C11:E11"/>
    <mergeCell ref="B6:E6"/>
    <mergeCell ref="B8:E8"/>
    <mergeCell ref="B9:E9"/>
    <mergeCell ref="B1:E1"/>
    <mergeCell ref="B2:E2"/>
    <mergeCell ref="A2:A3"/>
    <mergeCell ref="B3:E3"/>
    <mergeCell ref="B5:E5"/>
    <mergeCell ref="B26:C26"/>
    <mergeCell ref="B29:C29"/>
    <mergeCell ref="A39:C39"/>
    <mergeCell ref="B36:C36"/>
    <mergeCell ref="B30:C30"/>
    <mergeCell ref="B27:C27"/>
    <mergeCell ref="B31:C31"/>
    <mergeCell ref="B32:C32"/>
    <mergeCell ref="A38:C38"/>
    <mergeCell ref="B28:C28"/>
    <mergeCell ref="B33:C33"/>
    <mergeCell ref="B35:C35"/>
    <mergeCell ref="B34:C34"/>
  </mergeCells>
  <pageMargins left="0.7" right="0.7" top="0.75" bottom="0.75" header="0.3" footer="0.3"/>
  <pageSetup paperSize="9" scale="82" orientation="portrait" r:id="rId1"/>
  <colBreaks count="1" manualBreakCount="1">
    <brk id="5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showZeros="0" view="pageBreakPreview" topLeftCell="A44" zoomScaleNormal="100" zoomScaleSheetLayoutView="100" workbookViewId="0">
      <selection activeCell="H50" sqref="H50"/>
    </sheetView>
  </sheetViews>
  <sheetFormatPr defaultRowHeight="15"/>
  <cols>
    <col min="1" max="1" width="6.85546875" style="28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11.28515625" style="32" bestFit="1" customWidth="1"/>
    <col min="11" max="16384" width="9.140625" style="32"/>
  </cols>
  <sheetData>
    <row r="1" spans="2:9">
      <c r="B1" s="2"/>
      <c r="C1" s="3"/>
      <c r="D1" s="4"/>
      <c r="E1" s="2"/>
      <c r="F1" s="2"/>
      <c r="G1" s="2"/>
      <c r="H1" s="2"/>
      <c r="I1" s="5" t="s">
        <v>8</v>
      </c>
    </row>
    <row r="2" spans="2:9" ht="19.5" customHeight="1">
      <c r="B2" s="2"/>
      <c r="C2" s="3" t="s">
        <v>9</v>
      </c>
      <c r="D2" s="302" t="str">
        <f>ИД!B2</f>
        <v>ООО "Север"</v>
      </c>
      <c r="E2" s="302"/>
      <c r="F2" s="302"/>
      <c r="G2" s="302"/>
      <c r="H2" s="302"/>
      <c r="I2" s="2"/>
    </row>
    <row r="3" spans="2:9">
      <c r="B3" s="2"/>
      <c r="C3" s="3"/>
      <c r="D3" s="303" t="s">
        <v>10</v>
      </c>
      <c r="E3" s="303"/>
      <c r="F3" s="303"/>
      <c r="G3" s="303"/>
      <c r="H3" s="303"/>
      <c r="I3" s="2"/>
    </row>
    <row r="4" spans="2:9">
      <c r="B4" s="2"/>
      <c r="C4" s="3" t="s">
        <v>165</v>
      </c>
      <c r="D4" s="6"/>
      <c r="E4" s="2"/>
      <c r="F4" s="7"/>
      <c r="G4" s="2"/>
      <c r="H4" s="2"/>
      <c r="I4" s="2"/>
    </row>
    <row r="5" spans="2:9">
      <c r="B5" s="2"/>
      <c r="C5" s="3"/>
      <c r="D5" s="4"/>
      <c r="E5" s="2"/>
      <c r="F5" s="7"/>
      <c r="G5" s="2"/>
      <c r="H5" s="2"/>
      <c r="I5" s="2"/>
    </row>
    <row r="6" spans="2:9">
      <c r="B6" s="2"/>
      <c r="C6" s="53" t="str">
        <f>" Сводный сметный расчет сметной стоимостью     "&amp;I57&amp;"     тыс.руб."</f>
        <v xml:space="preserve"> Сводный сметный расчет сметной стоимостью     49148,45     тыс.руб.</v>
      </c>
      <c r="D6" s="4"/>
      <c r="E6" s="2"/>
      <c r="F6" s="7"/>
      <c r="G6" s="2"/>
      <c r="H6" s="2"/>
      <c r="I6" s="2"/>
    </row>
    <row r="7" spans="2:9">
      <c r="B7" s="2"/>
      <c r="C7" s="8"/>
      <c r="D7" s="302"/>
      <c r="E7" s="302"/>
      <c r="F7" s="302"/>
      <c r="G7" s="302"/>
      <c r="H7" s="302"/>
      <c r="I7" s="2"/>
    </row>
    <row r="8" spans="2:9">
      <c r="B8" s="2"/>
      <c r="C8" s="3"/>
      <c r="D8" s="303" t="s">
        <v>11</v>
      </c>
      <c r="E8" s="303"/>
      <c r="F8" s="303"/>
      <c r="G8" s="303"/>
      <c r="H8" s="303"/>
      <c r="I8" s="2"/>
    </row>
    <row r="9" spans="2:9">
      <c r="B9" s="2"/>
      <c r="C9" s="3"/>
      <c r="D9" s="4"/>
      <c r="E9" s="9"/>
      <c r="F9" s="9"/>
      <c r="G9" s="9"/>
      <c r="H9" s="2"/>
      <c r="I9" s="2"/>
    </row>
    <row r="10" spans="2:9" ht="20.25" customHeight="1">
      <c r="B10" s="2"/>
      <c r="C10" s="3"/>
      <c r="D10" s="304" t="s">
        <v>101</v>
      </c>
      <c r="E10" s="304"/>
      <c r="F10" s="304"/>
      <c r="G10" s="304"/>
      <c r="H10" s="304"/>
      <c r="I10" s="2"/>
    </row>
    <row r="11" spans="2:9">
      <c r="B11" s="2"/>
      <c r="C11" s="3"/>
      <c r="D11" s="108"/>
      <c r="E11" s="108"/>
      <c r="F11" s="108"/>
      <c r="G11" s="108"/>
      <c r="H11" s="108"/>
      <c r="I11" s="2"/>
    </row>
    <row r="12" spans="2:9" ht="25.5" customHeight="1">
      <c r="B12" s="2"/>
      <c r="C12" s="3"/>
      <c r="D12" s="301" t="str">
        <f>CONCATENATE(ИД!B10,ИД!C11)</f>
        <v>«Реконструкция распределительных и квартальных тепловых сетей г. Благовещенска Амурской области» Объект 7: Тепловые сети по ул. Пушкина от ТК-317 до ТК-320, L=222,53 м, D = 426 мм.</v>
      </c>
      <c r="E12" s="301"/>
      <c r="F12" s="301"/>
      <c r="G12" s="301"/>
      <c r="H12" s="301"/>
      <c r="I12" s="2"/>
    </row>
    <row r="13" spans="2:9">
      <c r="B13" s="2"/>
      <c r="C13" s="3"/>
      <c r="D13" s="295" t="s">
        <v>12</v>
      </c>
      <c r="E13" s="295"/>
      <c r="F13" s="295"/>
      <c r="G13" s="295"/>
      <c r="H13" s="295"/>
      <c r="I13" s="2"/>
    </row>
    <row r="14" spans="2:9">
      <c r="B14" s="296" t="str">
        <f>CONCATENATE("Составлен в текущем уровне цен на ",ИД!B11)</f>
        <v>Составлен в текущем уровне цен на 1 квартал 2023 г.</v>
      </c>
      <c r="C14" s="296"/>
      <c r="D14" s="296"/>
      <c r="E14" s="296"/>
      <c r="F14" s="296"/>
      <c r="G14" s="296"/>
      <c r="H14" s="296"/>
      <c r="I14" s="296"/>
    </row>
    <row r="15" spans="2:9" ht="15" customHeight="1">
      <c r="B15" s="297" t="s">
        <v>13</v>
      </c>
      <c r="C15" s="298" t="s">
        <v>67</v>
      </c>
      <c r="D15" s="297" t="s">
        <v>77</v>
      </c>
      <c r="E15" s="299" t="s">
        <v>14</v>
      </c>
      <c r="F15" s="300"/>
      <c r="G15" s="300"/>
      <c r="H15" s="300"/>
      <c r="I15" s="300"/>
    </row>
    <row r="16" spans="2:9" ht="81.75" customHeight="1">
      <c r="B16" s="297"/>
      <c r="C16" s="298"/>
      <c r="D16" s="297"/>
      <c r="E16" s="97" t="s">
        <v>78</v>
      </c>
      <c r="F16" s="97" t="s">
        <v>15</v>
      </c>
      <c r="G16" s="97" t="s">
        <v>70</v>
      </c>
      <c r="H16" s="97" t="s">
        <v>79</v>
      </c>
      <c r="I16" s="97" t="s">
        <v>18</v>
      </c>
    </row>
    <row r="17" spans="1:14">
      <c r="B17" s="46">
        <v>1</v>
      </c>
      <c r="C17" s="10">
        <v>2</v>
      </c>
      <c r="D17" s="46">
        <v>3</v>
      </c>
      <c r="E17" s="46">
        <v>4</v>
      </c>
      <c r="F17" s="46">
        <v>5</v>
      </c>
      <c r="G17" s="46">
        <v>6</v>
      </c>
      <c r="H17" s="46">
        <v>7</v>
      </c>
      <c r="I17" s="46">
        <v>8</v>
      </c>
    </row>
    <row r="18" spans="1:14" s="22" customFormat="1" ht="20.100000000000001" customHeight="1">
      <c r="A18" s="28"/>
      <c r="B18" s="291" t="s">
        <v>29</v>
      </c>
      <c r="C18" s="292"/>
      <c r="D18" s="292"/>
      <c r="E18" s="292"/>
      <c r="F18" s="292"/>
      <c r="G18" s="292"/>
      <c r="H18" s="292"/>
      <c r="I18" s="292"/>
    </row>
    <row r="19" spans="1:14" s="22" customFormat="1" ht="20.25" customHeight="1">
      <c r="A19" s="28"/>
      <c r="B19" s="184">
        <v>1</v>
      </c>
      <c r="C19" s="23" t="str">
        <f>ССРбаз!C19</f>
        <v>09-01-23-4-ООС</v>
      </c>
      <c r="D19" s="24" t="str">
        <f>ИД!B23</f>
        <v xml:space="preserve">Компенсационные выплаты за снос зеленых насаждений </v>
      </c>
      <c r="E19" s="36"/>
      <c r="F19" s="36"/>
      <c r="G19" s="36"/>
      <c r="H19" s="36">
        <f>ИД!E23</f>
        <v>101.51</v>
      </c>
      <c r="I19" s="36">
        <f>SUM(E19:H19)</f>
        <v>101.51</v>
      </c>
    </row>
    <row r="20" spans="1:14" s="22" customFormat="1" ht="19.5" customHeight="1">
      <c r="A20" s="28"/>
      <c r="B20" s="226">
        <f>B19+1</f>
        <v>2</v>
      </c>
      <c r="C20" s="23" t="str">
        <f>ССРбаз!C20</f>
        <v>ОС-01-01</v>
      </c>
      <c r="D20" s="24" t="str">
        <f>ССРбаз!D20</f>
        <v xml:space="preserve">Подготовительные работы </v>
      </c>
      <c r="E20" s="37">
        <f>'ОС-01-01тек'!E21</f>
        <v>423.44</v>
      </c>
      <c r="F20" s="37"/>
      <c r="G20" s="37"/>
      <c r="H20" s="37"/>
      <c r="I20" s="36">
        <f t="shared" ref="I20" si="0">SUM(E20:H20)</f>
        <v>423.44</v>
      </c>
      <c r="L20" s="219"/>
    </row>
    <row r="21" spans="1:14" s="22" customFormat="1" ht="20.100000000000001" customHeight="1">
      <c r="A21" s="28"/>
      <c r="B21" s="19"/>
      <c r="C21" s="20"/>
      <c r="D21" s="21" t="s">
        <v>33</v>
      </c>
      <c r="E21" s="18">
        <f>SUM(E19:E20)</f>
        <v>423.44</v>
      </c>
      <c r="F21" s="18">
        <f>SUM(F19:F20)</f>
        <v>0</v>
      </c>
      <c r="G21" s="18">
        <f>SUM(G19:G20)</f>
        <v>0</v>
      </c>
      <c r="H21" s="18">
        <f>SUM(H19:H20)</f>
        <v>101.51</v>
      </c>
      <c r="I21" s="18">
        <f>SUM(I19:I20)</f>
        <v>524.95000000000005</v>
      </c>
      <c r="J21" s="41" t="b">
        <f>SUM(E21:H21)=SUM(I19:I20)</f>
        <v>1</v>
      </c>
    </row>
    <row r="22" spans="1:14" s="22" customFormat="1" ht="20.100000000000001" customHeight="1">
      <c r="A22" s="28"/>
      <c r="B22" s="291" t="s">
        <v>34</v>
      </c>
      <c r="C22" s="292"/>
      <c r="D22" s="292"/>
      <c r="E22" s="292"/>
      <c r="F22" s="292"/>
      <c r="G22" s="292"/>
      <c r="H22" s="292"/>
      <c r="I22" s="292"/>
    </row>
    <row r="23" spans="1:14" s="22" customFormat="1" ht="24" customHeight="1">
      <c r="A23" s="28"/>
      <c r="B23" s="226">
        <f>B20+1</f>
        <v>3</v>
      </c>
      <c r="C23" s="23" t="str">
        <f>ССРбаз!C23</f>
        <v>ЛС-02-01-01</v>
      </c>
      <c r="D23" s="24" t="str">
        <f>ССРбаз!D23</f>
        <v xml:space="preserve">Тепловые сети </v>
      </c>
      <c r="E23" s="37">
        <v>27234.82</v>
      </c>
      <c r="F23" s="37">
        <v>1023.5</v>
      </c>
      <c r="G23" s="37"/>
      <c r="H23" s="37"/>
      <c r="I23" s="23">
        <f t="shared" ref="I23" si="1">SUM(E23:H23)</f>
        <v>28258.32</v>
      </c>
      <c r="L23" s="219"/>
    </row>
    <row r="24" spans="1:14" s="22" customFormat="1" ht="20.100000000000001" customHeight="1">
      <c r="A24" s="28"/>
      <c r="B24" s="19"/>
      <c r="C24" s="20"/>
      <c r="D24" s="21" t="s">
        <v>35</v>
      </c>
      <c r="E24" s="18">
        <f>SUM(E23:E23)</f>
        <v>27234.82</v>
      </c>
      <c r="F24" s="18">
        <f>SUM(F23:F23)</f>
        <v>1023.5</v>
      </c>
      <c r="G24" s="18">
        <f>SUM(G23:G23)</f>
        <v>0</v>
      </c>
      <c r="H24" s="18">
        <f>SUM(H23:H23)</f>
        <v>0</v>
      </c>
      <c r="I24" s="18">
        <f>SUM(I23:I23)</f>
        <v>28258.32</v>
      </c>
      <c r="J24" s="41" t="b">
        <f>SUM(E24:H24)=SUM(I23:I23)</f>
        <v>1</v>
      </c>
    </row>
    <row r="25" spans="1:14" s="22" customFormat="1" ht="20.100000000000001" customHeight="1">
      <c r="A25" s="28"/>
      <c r="B25" s="291" t="s">
        <v>83</v>
      </c>
      <c r="C25" s="292"/>
      <c r="D25" s="292"/>
      <c r="E25" s="292"/>
      <c r="F25" s="292"/>
      <c r="G25" s="292"/>
      <c r="H25" s="292"/>
      <c r="I25" s="292"/>
      <c r="J25" s="41"/>
    </row>
    <row r="26" spans="1:14" s="111" customFormat="1" ht="24.75" customHeight="1">
      <c r="A26" s="29"/>
      <c r="B26" s="124">
        <f>B23+1</f>
        <v>4</v>
      </c>
      <c r="C26" s="165" t="str">
        <f>ССРбаз!C26</f>
        <v>ЛС-07-01-01</v>
      </c>
      <c r="D26" s="164" t="str">
        <f>ССРбаз!D26</f>
        <v xml:space="preserve">Восстановление благоустройства </v>
      </c>
      <c r="E26" s="163">
        <v>2848.52</v>
      </c>
      <c r="F26" s="163"/>
      <c r="G26" s="163"/>
      <c r="H26" s="163"/>
      <c r="I26" s="165">
        <f t="shared" ref="I26" si="2">SUM(E26:H26)</f>
        <v>2848.52</v>
      </c>
      <c r="J26" s="41"/>
      <c r="L26" s="220"/>
    </row>
    <row r="27" spans="1:14" s="22" customFormat="1" ht="20.100000000000001" customHeight="1">
      <c r="A27" s="28"/>
      <c r="B27" s="19"/>
      <c r="C27" s="20"/>
      <c r="D27" s="21" t="s">
        <v>84</v>
      </c>
      <c r="E27" s="18">
        <f>SUM(E26:E26)</f>
        <v>2848.52</v>
      </c>
      <c r="F27" s="18">
        <f>SUM(F26:F26)</f>
        <v>0</v>
      </c>
      <c r="G27" s="18">
        <f>SUM(G26:G26)</f>
        <v>0</v>
      </c>
      <c r="H27" s="18">
        <f>SUM(H26:H26)</f>
        <v>0</v>
      </c>
      <c r="I27" s="18">
        <f>SUM(I26:I26)</f>
        <v>2848.52</v>
      </c>
      <c r="J27" s="41"/>
    </row>
    <row r="28" spans="1:14" s="1" customFormat="1" ht="20.100000000000001" customHeight="1">
      <c r="A28" s="29"/>
      <c r="B28" s="119"/>
      <c r="C28" s="17"/>
      <c r="D28" s="118" t="s">
        <v>36</v>
      </c>
      <c r="E28" s="18">
        <f>E21+E24+E27</f>
        <v>30506.78</v>
      </c>
      <c r="F28" s="18">
        <f>F21+F24+F27</f>
        <v>1023.5</v>
      </c>
      <c r="G28" s="18">
        <f>G21+G24+G27</f>
        <v>0</v>
      </c>
      <c r="H28" s="18">
        <f>H21+H24+H27</f>
        <v>101.51</v>
      </c>
      <c r="I28" s="18">
        <f>I21+I24+I27</f>
        <v>31631.79</v>
      </c>
      <c r="J28" s="41" t="b">
        <f>SUM(E28:H28)=I24+M27+I21+I27</f>
        <v>1</v>
      </c>
      <c r="K28" s="217"/>
      <c r="L28" s="217"/>
      <c r="M28" s="217"/>
      <c r="N28" s="217">
        <f>E20+E23+F23+E26</f>
        <v>31530.28</v>
      </c>
    </row>
    <row r="29" spans="1:14" ht="20.100000000000001" customHeight="1">
      <c r="B29" s="291" t="s">
        <v>37</v>
      </c>
      <c r="C29" s="292"/>
      <c r="D29" s="292"/>
      <c r="E29" s="292"/>
      <c r="F29" s="292"/>
      <c r="G29" s="292"/>
      <c r="H29" s="292"/>
      <c r="I29" s="292"/>
    </row>
    <row r="30" spans="1:14" ht="68.25" customHeight="1">
      <c r="A30" s="31">
        <f>ССРбаз!A30</f>
        <v>1.9199999999999998E-2</v>
      </c>
      <c r="B30" s="124">
        <f>B26+1</f>
        <v>5</v>
      </c>
      <c r="C30" s="24" t="str">
        <f>ИД!A24</f>
        <v>Методика утв. Приказом Минстрой РФ от 19.06.20г. №332/пр, Приложение 1, п.53</v>
      </c>
      <c r="D30" s="24" t="str">
        <f>ССРбаз!D30</f>
        <v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 - 2,4%х0,8=1,92%</v>
      </c>
      <c r="E30" s="23">
        <f>E28*A30</f>
        <v>585.73</v>
      </c>
      <c r="F30" s="23">
        <f>F28*A30</f>
        <v>19.649999999999999</v>
      </c>
      <c r="G30" s="23"/>
      <c r="H30" s="23"/>
      <c r="I30" s="23">
        <f>SUM(E30:H30)</f>
        <v>605.38</v>
      </c>
      <c r="J30" s="185"/>
      <c r="L30" s="185"/>
    </row>
    <row r="31" spans="1:14" ht="20.100000000000001" customHeight="1">
      <c r="B31" s="19"/>
      <c r="C31" s="20"/>
      <c r="D31" s="21" t="s">
        <v>38</v>
      </c>
      <c r="E31" s="18">
        <f>SUM(E30:E30)</f>
        <v>585.73</v>
      </c>
      <c r="F31" s="18">
        <f>SUM(F30:F30)</f>
        <v>19.649999999999999</v>
      </c>
      <c r="G31" s="18">
        <f>SUM(G30:G30)</f>
        <v>0</v>
      </c>
      <c r="H31" s="18">
        <f>SUM(H30:H30)</f>
        <v>0</v>
      </c>
      <c r="I31" s="18">
        <f>SUM(I30:I30)</f>
        <v>605.38</v>
      </c>
      <c r="J31" s="41" t="b">
        <f>SUM(E31:H31)=SUM(I30:I30)</f>
        <v>1</v>
      </c>
    </row>
    <row r="32" spans="1:14" ht="20.100000000000001" customHeight="1">
      <c r="B32" s="46"/>
      <c r="C32" s="17"/>
      <c r="D32" s="44" t="s">
        <v>39</v>
      </c>
      <c r="E32" s="18">
        <f>E28+E31</f>
        <v>31092.51</v>
      </c>
      <c r="F32" s="18">
        <f>F28+F31</f>
        <v>1043.1500000000001</v>
      </c>
      <c r="G32" s="18">
        <f>G28+G31</f>
        <v>0</v>
      </c>
      <c r="H32" s="18">
        <f>H28+H31</f>
        <v>101.51</v>
      </c>
      <c r="I32" s="18">
        <f>I28+I31</f>
        <v>32237.17</v>
      </c>
      <c r="J32" s="41" t="b">
        <f>SUM(E32:H32)=I28+I31</f>
        <v>1</v>
      </c>
    </row>
    <row r="33" spans="1:10" ht="20.100000000000001" customHeight="1">
      <c r="B33" s="291" t="s">
        <v>40</v>
      </c>
      <c r="C33" s="292"/>
      <c r="D33" s="292"/>
      <c r="E33" s="292"/>
      <c r="F33" s="292"/>
      <c r="G33" s="292"/>
      <c r="H33" s="292"/>
      <c r="I33" s="292"/>
    </row>
    <row r="34" spans="1:10" ht="27.75" customHeight="1">
      <c r="B34" s="124">
        <f>B30+1</f>
        <v>6</v>
      </c>
      <c r="C34" s="24" t="str">
        <f>ИД!A25</f>
        <v>СР-1</v>
      </c>
      <c r="D34" s="24" t="str">
        <f>CONCATENATE(ИД!B25," ","(",ИД!E25,"/",1.2,")")</f>
        <v>Стоимость размещения отходов на полигоне ТБО (3674,86/1,2)</v>
      </c>
      <c r="E34" s="23"/>
      <c r="F34" s="23"/>
      <c r="G34" s="23"/>
      <c r="H34" s="23">
        <f>ИД!E25/1.2</f>
        <v>3062.38</v>
      </c>
      <c r="I34" s="23">
        <f t="shared" ref="I34:I37" si="3">SUM(E34:H34)</f>
        <v>3062.38</v>
      </c>
    </row>
    <row r="35" spans="1:10" ht="27.75" customHeight="1">
      <c r="B35" s="124">
        <f>B34+1</f>
        <v>7</v>
      </c>
      <c r="C35" s="24" t="str">
        <f>ИД!A26</f>
        <v>09-01-23-4-ООС  таб.3.1</v>
      </c>
      <c r="D35" s="24" t="str">
        <f>ИД!B26</f>
        <v>Расчёт платы за негативное воздействие на окружающую среду (выбросы загрязняющих веществ в атмосферу)</v>
      </c>
      <c r="E35" s="23"/>
      <c r="F35" s="23"/>
      <c r="G35" s="23"/>
      <c r="H35" s="23">
        <f>ИД!E26</f>
        <v>0.26</v>
      </c>
      <c r="I35" s="23">
        <f>SUM(E35:H35)</f>
        <v>0.26</v>
      </c>
    </row>
    <row r="36" spans="1:10" s="59" customFormat="1" ht="37.5" customHeight="1">
      <c r="A36" s="29"/>
      <c r="B36" s="230">
        <f>B35+1</f>
        <v>8</v>
      </c>
      <c r="C36" s="170" t="str">
        <f>ИД!A27</f>
        <v>09-01-23-4-ООС  таб.3.1</v>
      </c>
      <c r="D36" s="170" t="str">
        <f>ИД!B27</f>
        <v>Расчёт платы за негативное воздействие на окружающую среду (размещеие отходов)</v>
      </c>
      <c r="E36" s="227"/>
      <c r="F36" s="227"/>
      <c r="G36" s="227"/>
      <c r="H36" s="171">
        <f>ИД!E27</f>
        <v>620.02</v>
      </c>
      <c r="I36" s="171">
        <f t="shared" si="3"/>
        <v>620.02</v>
      </c>
    </row>
    <row r="37" spans="1:10" s="59" customFormat="1" ht="60.75" hidden="1" customHeight="1">
      <c r="A37" s="29"/>
      <c r="B37" s="195">
        <f>B36+1</f>
        <v>9</v>
      </c>
      <c r="C37" s="192" t="str">
        <f>ИД!A28</f>
        <v>09-01-23-4-ООС  таб.3.1</v>
      </c>
      <c r="D37" s="192" t="str">
        <f>CONCATENATE(ИД!B28," (",ИД!E28,"/1,2/1000)")</f>
        <v>Плата за технологическое присоединение к сетям АО "ДРСК" (0/1,2/1000)</v>
      </c>
      <c r="E37" s="196"/>
      <c r="F37" s="196"/>
      <c r="G37" s="196"/>
      <c r="H37" s="193"/>
      <c r="I37" s="193">
        <f t="shared" si="3"/>
        <v>0</v>
      </c>
    </row>
    <row r="38" spans="1:10" s="59" customFormat="1" ht="26.25" customHeight="1">
      <c r="A38" s="29"/>
      <c r="B38" s="124">
        <f>B36+1</f>
        <v>9</v>
      </c>
      <c r="C38" s="164" t="str">
        <f>ИД!A29</f>
        <v>09-01-23-4-ООС  таб.3.1</v>
      </c>
      <c r="D38" s="164" t="str">
        <f>ИД!B29</f>
        <v>Расчет затрат на экологический мониторинг</v>
      </c>
      <c r="E38" s="229"/>
      <c r="F38" s="229"/>
      <c r="G38" s="229"/>
      <c r="H38" s="165">
        <f>ИД!E29</f>
        <v>10.53</v>
      </c>
      <c r="I38" s="165">
        <f>SUM(E38:H38)</f>
        <v>10.53</v>
      </c>
    </row>
    <row r="39" spans="1:10" ht="18" customHeight="1">
      <c r="B39" s="19"/>
      <c r="C39" s="20"/>
      <c r="D39" s="21" t="s">
        <v>41</v>
      </c>
      <c r="E39" s="18">
        <f>SUM(E34:E38)</f>
        <v>0</v>
      </c>
      <c r="F39" s="18">
        <f t="shared" ref="F39:I39" si="4">SUM(F34:F38)</f>
        <v>0</v>
      </c>
      <c r="G39" s="18">
        <f t="shared" si="4"/>
        <v>0</v>
      </c>
      <c r="H39" s="18">
        <f t="shared" si="4"/>
        <v>3693.19</v>
      </c>
      <c r="I39" s="18">
        <f t="shared" si="4"/>
        <v>3693.19</v>
      </c>
      <c r="J39" s="41" t="b">
        <f>SUM(E39:H39)=SUM(I34:I38)</f>
        <v>1</v>
      </c>
    </row>
    <row r="40" spans="1:10" ht="18" customHeight="1">
      <c r="B40" s="56"/>
      <c r="C40" s="17"/>
      <c r="D40" s="55" t="s">
        <v>42</v>
      </c>
      <c r="E40" s="18">
        <f>E32+E39</f>
        <v>31092.51</v>
      </c>
      <c r="F40" s="18">
        <f>F32+F39</f>
        <v>1043.1500000000001</v>
      </c>
      <c r="G40" s="18">
        <f>G32+G39</f>
        <v>0</v>
      </c>
      <c r="H40" s="18">
        <f>H32+H39</f>
        <v>3794.7</v>
      </c>
      <c r="I40" s="18">
        <f>I32+I39</f>
        <v>35930.36</v>
      </c>
      <c r="J40" s="41" t="b">
        <f>SUM(E40:H40)=I32+I39</f>
        <v>1</v>
      </c>
    </row>
    <row r="41" spans="1:10" s="22" customFormat="1" ht="18" customHeight="1">
      <c r="B41" s="291" t="s">
        <v>54</v>
      </c>
      <c r="C41" s="292"/>
      <c r="D41" s="292"/>
      <c r="E41" s="292"/>
      <c r="F41" s="292"/>
      <c r="G41" s="292"/>
      <c r="H41" s="292"/>
      <c r="I41" s="292"/>
    </row>
    <row r="42" spans="1:10" s="22" customFormat="1" ht="38.25">
      <c r="A42" s="54">
        <f>ИД!D30%</f>
        <v>2.1399999999999999E-2</v>
      </c>
      <c r="B42" s="124">
        <f>B38+1</f>
        <v>10</v>
      </c>
      <c r="C42" s="103" t="str">
        <f>ССРбаз!C42</f>
        <v>Постановление Правительства РФ от 21.06.2010г. №468</v>
      </c>
      <c r="D42" s="40" t="str">
        <f>CONCATENATE(ИД!B30," ","-"," ",ИД!D30,ИД!E30," ","от"," ",I40)</f>
        <v>Строительный контроль - 2,14% от 35930,36</v>
      </c>
      <c r="E42" s="34"/>
      <c r="F42" s="34"/>
      <c r="G42" s="34"/>
      <c r="H42" s="37">
        <f>I40*$A$42</f>
        <v>768.91</v>
      </c>
      <c r="I42" s="37">
        <f>SUM(E42:H42)</f>
        <v>768.91</v>
      </c>
    </row>
    <row r="43" spans="1:10" s="22" customFormat="1" ht="18" customHeight="1">
      <c r="A43" s="28"/>
      <c r="B43" s="19"/>
      <c r="C43" s="20"/>
      <c r="D43" s="21" t="s">
        <v>56</v>
      </c>
      <c r="E43" s="18"/>
      <c r="F43" s="18"/>
      <c r="G43" s="18"/>
      <c r="H43" s="18">
        <f>SUM(H42:H42)</f>
        <v>768.91</v>
      </c>
      <c r="I43" s="18">
        <f>SUM(I42:I42)</f>
        <v>768.91</v>
      </c>
      <c r="J43" s="41"/>
    </row>
    <row r="44" spans="1:10" s="49" customFormat="1" ht="56.1" customHeight="1">
      <c r="A44" s="96">
        <v>2E-3</v>
      </c>
      <c r="B44" s="291" t="s">
        <v>76</v>
      </c>
      <c r="C44" s="292"/>
      <c r="D44" s="292"/>
      <c r="E44" s="292"/>
      <c r="F44" s="292"/>
      <c r="G44" s="292"/>
      <c r="H44" s="292"/>
      <c r="I44" s="292"/>
      <c r="J44" s="52"/>
    </row>
    <row r="45" spans="1:10" s="49" customFormat="1" ht="54.75" customHeight="1">
      <c r="B45" s="95">
        <f>B42+1</f>
        <v>11</v>
      </c>
      <c r="C45" s="107" t="str">
        <f>ИД!A31</f>
        <v>Методика утв. Приказом Минстрой РФ от 04.08.2020г. №421/пр п.173</v>
      </c>
      <c r="D45" s="93" t="str">
        <f>CONCATENATE(ИД!$B$31," - ",ИД!$D$31,ИД!$E$31," от ",I40,"
")</f>
        <v xml:space="preserve">Авторский надзор  - 0,2% от 35930,36
</v>
      </c>
      <c r="E45" s="48"/>
      <c r="F45" s="48"/>
      <c r="G45" s="48"/>
      <c r="H45" s="37">
        <f>I40*A44</f>
        <v>71.86</v>
      </c>
      <c r="I45" s="94">
        <f>SUM(E45:H45)</f>
        <v>71.86</v>
      </c>
      <c r="J45" s="52"/>
    </row>
    <row r="46" spans="1:10" s="49" customFormat="1" ht="39.75" customHeight="1">
      <c r="A46" s="47"/>
      <c r="B46" s="208">
        <f>B45+1</f>
        <v>12</v>
      </c>
      <c r="C46" s="209" t="str">
        <f>ИД!A32</f>
        <v xml:space="preserve"> Смета №1-4</v>
      </c>
      <c r="D46" s="209" t="str">
        <f>ИД!B32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v>
      </c>
      <c r="E46" s="210"/>
      <c r="F46" s="210"/>
      <c r="G46" s="210"/>
      <c r="H46" s="211">
        <f>ИД!E32</f>
        <v>998.31</v>
      </c>
      <c r="I46" s="211">
        <f t="shared" ref="I46:I49" si="5">SUM(E46:H46)</f>
        <v>998.31</v>
      </c>
      <c r="J46" s="52"/>
    </row>
    <row r="47" spans="1:10" s="49" customFormat="1" ht="27" customHeight="1">
      <c r="A47" s="47"/>
      <c r="B47" s="208">
        <f>B46+1</f>
        <v>13</v>
      </c>
      <c r="C47" s="209" t="str">
        <f>ИД!A33</f>
        <v>Смета №5</v>
      </c>
      <c r="D47" s="209" t="str">
        <f>ИД!B33</f>
        <v>Разработка проектной документации</v>
      </c>
      <c r="E47" s="210"/>
      <c r="F47" s="210"/>
      <c r="G47" s="210"/>
      <c r="H47" s="211">
        <f>ИД!E33</f>
        <v>575.4</v>
      </c>
      <c r="I47" s="211">
        <f t="shared" si="5"/>
        <v>575.4</v>
      </c>
      <c r="J47" s="52"/>
    </row>
    <row r="48" spans="1:10" s="49" customFormat="1" ht="54" customHeight="1">
      <c r="A48" s="47"/>
      <c r="B48" s="208">
        <f>B47+1</f>
        <v>14</v>
      </c>
      <c r="C48" s="209" t="str">
        <f>ИД!A34</f>
        <v>Смета №6</v>
      </c>
      <c r="D48" s="209" t="str">
        <f>ИД!B34</f>
        <v>Разработка рабочей документации</v>
      </c>
      <c r="E48" s="210"/>
      <c r="F48" s="210"/>
      <c r="G48" s="210"/>
      <c r="H48" s="211">
        <f>ИД!E34</f>
        <v>863.09</v>
      </c>
      <c r="I48" s="211">
        <f t="shared" si="5"/>
        <v>863.09</v>
      </c>
      <c r="J48" s="52"/>
    </row>
    <row r="49" spans="1:10" s="49" customFormat="1" ht="42" customHeight="1">
      <c r="A49" s="47"/>
      <c r="B49" s="208">
        <f>B48+1</f>
        <v>15</v>
      </c>
      <c r="C49" s="209" t="str">
        <f>ИД!A35</f>
        <v>Постановление Правительства РФ №145от 05.03.2007г.</v>
      </c>
      <c r="D49" s="209" t="str">
        <f>CONCATENATE(ИД!B35," ","(",ИД!D32,"*",0.273,"+",ИД!D33,"*",0.273,")","*",ИД!B20)</f>
        <v>Проведение государственной экспертизы по объекту (186,25*0,273+108,16*0,273)*6,92</v>
      </c>
      <c r="E49" s="210"/>
      <c r="F49" s="210"/>
      <c r="G49" s="210"/>
      <c r="H49" s="211">
        <f>(ИД!D32*0.273+ИД!D33*0.273)*ИД!B20</f>
        <v>556.19000000000005</v>
      </c>
      <c r="I49" s="211">
        <f t="shared" si="5"/>
        <v>556.19000000000005</v>
      </c>
      <c r="J49" s="52"/>
    </row>
    <row r="50" spans="1:10" s="49" customFormat="1" ht="18" customHeight="1">
      <c r="A50" s="47"/>
      <c r="B50" s="56"/>
      <c r="C50" s="17"/>
      <c r="D50" s="21" t="s">
        <v>43</v>
      </c>
      <c r="E50" s="18">
        <f>SUM(E45:E49)</f>
        <v>0</v>
      </c>
      <c r="F50" s="18">
        <f>SUM(F45:F49)</f>
        <v>0</v>
      </c>
      <c r="G50" s="18">
        <f>SUM(G45:G49)</f>
        <v>0</v>
      </c>
      <c r="H50" s="18">
        <f>SUM(H45:H49)</f>
        <v>3064.85</v>
      </c>
      <c r="I50" s="18">
        <f>SUM(I45:I49)</f>
        <v>3064.85</v>
      </c>
      <c r="J50" s="52"/>
    </row>
    <row r="51" spans="1:10" s="22" customFormat="1" ht="18" customHeight="1">
      <c r="A51" s="28"/>
      <c r="B51" s="46"/>
      <c r="C51" s="17"/>
      <c r="D51" s="44" t="s">
        <v>44</v>
      </c>
      <c r="E51" s="18">
        <f>E40+E43+E50</f>
        <v>31092.51</v>
      </c>
      <c r="F51" s="18">
        <f>F40+F43+F50</f>
        <v>1043.1500000000001</v>
      </c>
      <c r="G51" s="18">
        <f>G40+G43+G50</f>
        <v>0</v>
      </c>
      <c r="H51" s="18">
        <f>H40+H43+H50</f>
        <v>7628.46</v>
      </c>
      <c r="I51" s="18">
        <f>I40+I43+I50</f>
        <v>39764.120000000003</v>
      </c>
      <c r="J51" s="41" t="b">
        <f>SUM(E51:H51)=I40+I43+I50</f>
        <v>1</v>
      </c>
    </row>
    <row r="52" spans="1:10" s="22" customFormat="1" ht="19.5" customHeight="1">
      <c r="A52" s="28"/>
      <c r="B52" s="291" t="s">
        <v>45</v>
      </c>
      <c r="C52" s="292"/>
      <c r="D52" s="292"/>
      <c r="E52" s="292"/>
      <c r="F52" s="292"/>
      <c r="G52" s="292"/>
      <c r="H52" s="292"/>
      <c r="I52" s="292"/>
    </row>
    <row r="53" spans="1:10" s="22" customFormat="1" ht="54.75" customHeight="1">
      <c r="A53" s="30">
        <f>ССРбаз!A53</f>
        <v>0.03</v>
      </c>
      <c r="B53" s="42">
        <f>B49+1</f>
        <v>16</v>
      </c>
      <c r="C53" s="24" t="str">
        <f>ИД!A36</f>
        <v>Методика утв. Приказом Минстрой РФ от 04.08.2020г. №421/пр п.179</v>
      </c>
      <c r="D53" s="45" t="s">
        <v>57</v>
      </c>
      <c r="E53" s="23">
        <f>E51*$A$53</f>
        <v>932.78</v>
      </c>
      <c r="F53" s="23">
        <f>F51*$A$53</f>
        <v>31.29</v>
      </c>
      <c r="G53" s="23">
        <f t="shared" ref="G53:H53" si="6">G51*$A$53</f>
        <v>0</v>
      </c>
      <c r="H53" s="23">
        <f t="shared" si="6"/>
        <v>228.85</v>
      </c>
      <c r="I53" s="23">
        <f>SUM(E53:H53)</f>
        <v>1192.92</v>
      </c>
      <c r="J53" s="41"/>
    </row>
    <row r="54" spans="1:10" s="22" customFormat="1" ht="18" customHeight="1">
      <c r="A54" s="28"/>
      <c r="B54" s="34"/>
      <c r="C54" s="34"/>
      <c r="D54" s="44" t="s">
        <v>46</v>
      </c>
      <c r="E54" s="18">
        <f>E51+E53</f>
        <v>32025.29</v>
      </c>
      <c r="F54" s="18">
        <f>F51+F53</f>
        <v>1074.44</v>
      </c>
      <c r="G54" s="18">
        <f>G51+G53</f>
        <v>0</v>
      </c>
      <c r="H54" s="18">
        <f>H51+H53</f>
        <v>7857.31</v>
      </c>
      <c r="I54" s="18">
        <f>I51+I53</f>
        <v>40957.040000000001</v>
      </c>
      <c r="J54" s="41" t="b">
        <f>SUM(E54:H54)=I51+I53</f>
        <v>1</v>
      </c>
    </row>
    <row r="55" spans="1:10" s="22" customFormat="1" ht="18" customHeight="1">
      <c r="A55" s="28"/>
      <c r="B55" s="291" t="s">
        <v>47</v>
      </c>
      <c r="C55" s="292"/>
      <c r="D55" s="292"/>
      <c r="E55" s="292"/>
      <c r="F55" s="292"/>
      <c r="G55" s="292"/>
      <c r="H55" s="292"/>
      <c r="I55" s="292"/>
    </row>
    <row r="56" spans="1:10" s="22" customFormat="1" ht="35.25" customHeight="1">
      <c r="A56" s="30">
        <v>0.2</v>
      </c>
      <c r="B56" s="173">
        <f>B53+1</f>
        <v>17</v>
      </c>
      <c r="C56" s="12" t="s">
        <v>80</v>
      </c>
      <c r="D56" s="45" t="s">
        <v>48</v>
      </c>
      <c r="E56" s="23">
        <f>E54*$A$56</f>
        <v>6405.06</v>
      </c>
      <c r="F56" s="23">
        <f t="shared" ref="F56:G56" si="7">F54*$A$56</f>
        <v>214.89</v>
      </c>
      <c r="G56" s="23">
        <f t="shared" si="7"/>
        <v>0</v>
      </c>
      <c r="H56" s="23">
        <f>(H54)*$A$56</f>
        <v>1571.46</v>
      </c>
      <c r="I56" s="23">
        <f>SUM(E56:H56)</f>
        <v>8191.41</v>
      </c>
      <c r="J56" s="41"/>
    </row>
    <row r="57" spans="1:10" s="22" customFormat="1" ht="36.75" customHeight="1">
      <c r="A57" s="28"/>
      <c r="B57" s="25"/>
      <c r="C57" s="26"/>
      <c r="D57" s="44" t="str">
        <f>CONCATENATE("Всего по сводному сметному расчету в текущем уровне цен на ", ИД!B11)</f>
        <v>Всего по сводному сметному расчету в текущем уровне цен на 1 квартал 2023 г.</v>
      </c>
      <c r="E57" s="18">
        <f>E54+E56</f>
        <v>38430.35</v>
      </c>
      <c r="F57" s="18">
        <f t="shared" ref="F57:I57" si="8">F54+F56</f>
        <v>1289.33</v>
      </c>
      <c r="G57" s="18">
        <f t="shared" si="8"/>
        <v>0</v>
      </c>
      <c r="H57" s="18">
        <f t="shared" si="8"/>
        <v>9428.77</v>
      </c>
      <c r="I57" s="18">
        <f t="shared" si="8"/>
        <v>49148.45</v>
      </c>
      <c r="J57" s="41" t="b">
        <f>SUM(E57:H57)=I54+I56</f>
        <v>1</v>
      </c>
    </row>
    <row r="58" spans="1:10" s="198" customFormat="1" ht="18" customHeight="1">
      <c r="A58" s="203"/>
      <c r="B58" s="204"/>
      <c r="C58" s="205"/>
      <c r="D58" s="200" t="s">
        <v>106</v>
      </c>
      <c r="E58" s="27"/>
      <c r="F58" s="206"/>
      <c r="G58" s="206"/>
      <c r="H58" s="206"/>
      <c r="I58" s="27">
        <f>ИД!E39</f>
        <v>555.78</v>
      </c>
    </row>
    <row r="59" spans="1:10">
      <c r="A59" s="32"/>
      <c r="B59" s="249"/>
      <c r="C59" s="249"/>
      <c r="D59" s="250" t="s">
        <v>142</v>
      </c>
      <c r="E59" s="251"/>
      <c r="F59" s="251"/>
      <c r="G59" s="251"/>
      <c r="H59" s="251"/>
      <c r="I59" s="252">
        <f>H46+H47+H48</f>
        <v>2436.8000000000002</v>
      </c>
      <c r="J59" s="38"/>
    </row>
    <row r="60" spans="1:10">
      <c r="A60" s="32"/>
      <c r="J60" s="38"/>
    </row>
    <row r="61" spans="1:10">
      <c r="A61" s="32"/>
      <c r="J61" s="38"/>
    </row>
    <row r="62" spans="1:10">
      <c r="A62" s="32"/>
      <c r="C62" s="43" t="str">
        <f>CONCATENATE(ИД!$A$6,ИД!$B$5)</f>
        <v>Генеральный директор  ООО "ИВЦ "Энергоактив""</v>
      </c>
      <c r="D62" s="1"/>
      <c r="E62" s="293"/>
      <c r="F62" s="293"/>
      <c r="G62" s="293"/>
      <c r="H62" s="57" t="str">
        <f>ИД!$B$6</f>
        <v>С.В. Лопашук</v>
      </c>
      <c r="I62" s="1"/>
      <c r="J62" s="38"/>
    </row>
    <row r="63" spans="1:10">
      <c r="A63" s="32"/>
      <c r="C63" s="3"/>
      <c r="D63" s="57"/>
      <c r="E63" s="9"/>
      <c r="F63" s="9"/>
      <c r="G63" s="9"/>
      <c r="H63" s="57"/>
      <c r="I63" s="9"/>
      <c r="J63" s="38"/>
    </row>
    <row r="64" spans="1:10">
      <c r="A64" s="32"/>
      <c r="C64" s="3"/>
      <c r="D64" s="57"/>
      <c r="E64" s="9"/>
      <c r="F64" s="9"/>
      <c r="G64" s="9"/>
      <c r="H64" s="57"/>
      <c r="I64" s="9"/>
      <c r="J64" s="38"/>
    </row>
    <row r="65" spans="1:10">
      <c r="A65" s="32"/>
      <c r="C65" s="43" t="str">
        <f>CONCATENATE(ИД!$A$7,ИД!$B$5)</f>
        <v>Главный инженер проекта ООО "ИВЦ "Энергоактив""</v>
      </c>
      <c r="D65" s="1"/>
      <c r="E65" s="293"/>
      <c r="F65" s="293"/>
      <c r="G65" s="293"/>
      <c r="H65" s="111" t="str">
        <f>ИД!B7</f>
        <v>Н.В.Петров</v>
      </c>
      <c r="I65" s="1"/>
      <c r="J65" s="38"/>
    </row>
    <row r="66" spans="1:10">
      <c r="A66" s="32"/>
      <c r="C66" s="3"/>
      <c r="D66" s="57"/>
      <c r="E66" s="9"/>
      <c r="F66" s="9"/>
      <c r="G66" s="9"/>
      <c r="H66" s="57"/>
      <c r="I66" s="9"/>
      <c r="J66" s="38"/>
    </row>
    <row r="67" spans="1:10">
      <c r="A67" s="32"/>
      <c r="C67" s="3"/>
      <c r="D67" s="57"/>
      <c r="E67" s="9"/>
      <c r="F67" s="9"/>
      <c r="G67" s="9"/>
      <c r="H67" s="57"/>
      <c r="I67" s="9"/>
      <c r="J67" s="38"/>
    </row>
    <row r="68" spans="1:10">
      <c r="A68" s="32"/>
      <c r="C68" s="3" t="s">
        <v>50</v>
      </c>
      <c r="D68" s="57"/>
      <c r="E68" s="238"/>
      <c r="F68" s="238"/>
      <c r="G68" s="238"/>
      <c r="H68" s="57"/>
      <c r="I68" s="9"/>
      <c r="J68" s="38"/>
    </row>
    <row r="69" spans="1:10" ht="24.75" customHeight="1">
      <c r="A69" s="32"/>
      <c r="C69" s="294"/>
      <c r="D69" s="294"/>
      <c r="E69" s="290"/>
      <c r="F69" s="290"/>
      <c r="G69" s="290"/>
      <c r="H69" s="61"/>
      <c r="I69" s="9"/>
      <c r="J69" s="38"/>
    </row>
  </sheetData>
  <mergeCells count="25">
    <mergeCell ref="D12:H12"/>
    <mergeCell ref="D2:H2"/>
    <mergeCell ref="D3:H3"/>
    <mergeCell ref="D7:H7"/>
    <mergeCell ref="D8:H8"/>
    <mergeCell ref="D10:H10"/>
    <mergeCell ref="D13:H13"/>
    <mergeCell ref="B14:I14"/>
    <mergeCell ref="B15:B16"/>
    <mergeCell ref="C15:C16"/>
    <mergeCell ref="D15:D16"/>
    <mergeCell ref="E15:I15"/>
    <mergeCell ref="B18:I18"/>
    <mergeCell ref="B22:I22"/>
    <mergeCell ref="B55:I55"/>
    <mergeCell ref="B29:I29"/>
    <mergeCell ref="B33:I33"/>
    <mergeCell ref="B41:I41"/>
    <mergeCell ref="B52:I52"/>
    <mergeCell ref="B25:I25"/>
    <mergeCell ref="E69:G69"/>
    <mergeCell ref="B44:I44"/>
    <mergeCell ref="E62:G62"/>
    <mergeCell ref="E65:G65"/>
    <mergeCell ref="C69:D69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BreakPreview" zoomScaleNormal="100" zoomScaleSheetLayoutView="100" workbookViewId="0">
      <selection activeCell="E22" sqref="E22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 ht="31.5" customHeight="1">
      <c r="B1" s="308" t="str">
        <f>CONCATENATE(ИД!$B$10,ИД!$C$11)</f>
        <v>«Реконструкция распределительных и квартальных тепловых сетей г. Благовещенска Амурской области» Объект 7: Тепловые сети по ул. Пушкина от ТК-317 до ТК-320, L=222,53 м, D = 426 мм.</v>
      </c>
      <c r="C1" s="308"/>
      <c r="D1" s="308"/>
      <c r="E1" s="308"/>
      <c r="F1" s="308"/>
      <c r="G1" s="308"/>
      <c r="H1" s="308"/>
      <c r="I1" s="308"/>
    </row>
    <row r="2" spans="1:9">
      <c r="B2" s="309" t="s">
        <v>12</v>
      </c>
      <c r="C2" s="309"/>
      <c r="D2" s="309"/>
      <c r="E2" s="309"/>
      <c r="F2" s="309"/>
      <c r="G2" s="309"/>
      <c r="H2" s="309"/>
      <c r="I2" s="309"/>
    </row>
    <row r="4" spans="1:9" ht="15.75">
      <c r="B4" s="310" t="s">
        <v>152</v>
      </c>
      <c r="C4" s="310"/>
      <c r="D4" s="310"/>
      <c r="E4" s="310"/>
      <c r="F4" s="310"/>
      <c r="G4" s="310"/>
      <c r="H4" s="310"/>
      <c r="I4" s="310"/>
    </row>
    <row r="5" spans="1:9" ht="15.75">
      <c r="B5" s="310" t="str">
        <f>'ОС-01-01'!B5:I5</f>
        <v xml:space="preserve">Подготовительные работы </v>
      </c>
      <c r="C5" s="310"/>
      <c r="D5" s="310"/>
      <c r="E5" s="310"/>
      <c r="F5" s="310"/>
      <c r="G5" s="310"/>
      <c r="H5" s="310"/>
      <c r="I5" s="310"/>
    </row>
    <row r="6" spans="1:9" ht="15.75">
      <c r="B6" s="159"/>
      <c r="C6" s="159"/>
      <c r="D6" s="159"/>
      <c r="E6" s="159"/>
      <c r="F6" s="159"/>
      <c r="G6" s="159"/>
      <c r="H6" s="159"/>
      <c r="I6" s="159"/>
    </row>
    <row r="7" spans="1:9" s="62" customFormat="1" ht="13.5">
      <c r="A7" s="110"/>
      <c r="B7" s="63"/>
      <c r="C7" s="63"/>
      <c r="D7" s="311" t="s">
        <v>62</v>
      </c>
      <c r="E7" s="311"/>
      <c r="F7" s="311"/>
      <c r="G7" s="311"/>
      <c r="H7" s="311"/>
      <c r="I7" s="63"/>
    </row>
    <row r="8" spans="1:9" s="62" customFormat="1" ht="13.5">
      <c r="A8" s="110"/>
      <c r="B8" s="64"/>
      <c r="C8" s="64"/>
      <c r="D8" s="65"/>
      <c r="E8" s="64"/>
      <c r="F8" s="64"/>
      <c r="G8" s="64"/>
      <c r="H8" s="64"/>
      <c r="I8" s="64"/>
    </row>
    <row r="9" spans="1:9" s="62" customFormat="1" ht="15" customHeight="1">
      <c r="A9" s="110"/>
      <c r="B9" s="64"/>
      <c r="C9" s="63"/>
      <c r="D9" s="307" t="s">
        <v>63</v>
      </c>
      <c r="E9" s="307"/>
      <c r="F9" s="307"/>
      <c r="G9" s="307"/>
      <c r="H9" s="66">
        <f>I25</f>
        <v>12.95</v>
      </c>
      <c r="I9" s="67" t="s">
        <v>28</v>
      </c>
    </row>
    <row r="10" spans="1:9" s="62" customFormat="1" ht="32.1" customHeight="1">
      <c r="A10" s="110"/>
      <c r="B10" s="64"/>
      <c r="C10" s="63"/>
      <c r="D10" s="305" t="s">
        <v>64</v>
      </c>
      <c r="E10" s="305"/>
      <c r="F10" s="305"/>
      <c r="G10" s="305"/>
      <c r="H10" s="236">
        <f>ИД!F23</f>
        <v>0.21199999999999999</v>
      </c>
      <c r="I10" s="90" t="s">
        <v>136</v>
      </c>
    </row>
    <row r="11" spans="1:9" s="62" customFormat="1" ht="32.1" customHeight="1">
      <c r="A11" s="110"/>
      <c r="B11" s="64"/>
      <c r="C11" s="63"/>
      <c r="D11" s="305" t="s">
        <v>65</v>
      </c>
      <c r="E11" s="305"/>
      <c r="F11" s="305"/>
      <c r="G11" s="305"/>
      <c r="H11" s="68">
        <f>H9/H10*1000</f>
        <v>61084.91</v>
      </c>
      <c r="I11" s="160" t="s">
        <v>66</v>
      </c>
    </row>
    <row r="12" spans="1:9" s="69" customFormat="1" ht="13.5">
      <c r="A12" s="111"/>
      <c r="B12" s="70"/>
      <c r="C12" s="70"/>
      <c r="D12" s="70"/>
      <c r="E12" s="70"/>
      <c r="F12" s="70"/>
      <c r="G12" s="71"/>
      <c r="H12" s="70"/>
      <c r="I12" s="70"/>
    </row>
    <row r="13" spans="1:9" s="69" customFormat="1" ht="13.5">
      <c r="A13" s="111"/>
      <c r="C13" s="71"/>
      <c r="D13" s="72" t="s">
        <v>166</v>
      </c>
      <c r="E13" s="72"/>
      <c r="F13" s="72"/>
      <c r="G13" s="72"/>
      <c r="H13" s="72"/>
      <c r="I13" s="72"/>
    </row>
    <row r="14" spans="1:9" ht="15.75">
      <c r="B14" s="159"/>
      <c r="C14" s="159"/>
      <c r="D14" s="58"/>
      <c r="E14" s="58"/>
      <c r="F14" s="58"/>
      <c r="G14" s="35"/>
      <c r="H14" s="33"/>
      <c r="I14" s="159"/>
    </row>
    <row r="15" spans="1:9" ht="15" customHeight="1">
      <c r="B15" s="306" t="s">
        <v>16</v>
      </c>
      <c r="C15" s="306" t="s">
        <v>67</v>
      </c>
      <c r="D15" s="306" t="s">
        <v>68</v>
      </c>
      <c r="E15" s="306" t="s">
        <v>17</v>
      </c>
      <c r="F15" s="306"/>
      <c r="G15" s="306"/>
      <c r="H15" s="306"/>
      <c r="I15" s="306"/>
    </row>
    <row r="16" spans="1:9" ht="85.5" customHeight="1">
      <c r="B16" s="306"/>
      <c r="C16" s="306"/>
      <c r="D16" s="306"/>
      <c r="E16" s="73" t="s">
        <v>69</v>
      </c>
      <c r="F16" s="161" t="s">
        <v>15</v>
      </c>
      <c r="G16" s="161" t="s">
        <v>70</v>
      </c>
      <c r="H16" s="161" t="s">
        <v>71</v>
      </c>
      <c r="I16" s="161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69" customFormat="1" ht="25.5" customHeight="1">
      <c r="A18" s="111"/>
      <c r="B18" s="74">
        <v>1</v>
      </c>
      <c r="C18" s="74" t="str">
        <f>'ОС-01-01'!C18</f>
        <v>ЛС-01-01-01</v>
      </c>
      <c r="D18" s="75" t="str">
        <f>'ОС-01-01'!$D$18</f>
        <v>Очистка территории строительства</v>
      </c>
      <c r="E18" s="89">
        <v>31.26</v>
      </c>
      <c r="F18" s="89"/>
      <c r="G18" s="89"/>
      <c r="H18" s="89"/>
      <c r="I18" s="89">
        <f>SUM(E18:H18)</f>
        <v>31.26</v>
      </c>
    </row>
    <row r="19" spans="1:9" s="69" customFormat="1" ht="27">
      <c r="A19" s="111"/>
      <c r="B19" s="74">
        <f>B18+1</f>
        <v>2</v>
      </c>
      <c r="C19" s="74" t="str">
        <f>'ОС-01-01'!$C$19</f>
        <v>ЛС-01-01-02</v>
      </c>
      <c r="D19" s="75" t="str">
        <f>'ОС-01-01'!$D$19</f>
        <v>Разборка существующего покрытия и тротуара</v>
      </c>
      <c r="E19" s="89">
        <v>350.09</v>
      </c>
      <c r="F19" s="89"/>
      <c r="G19" s="89"/>
      <c r="H19" s="89"/>
      <c r="I19" s="89">
        <f t="shared" ref="I19:I20" si="0">SUM(E19:H19)</f>
        <v>350.09</v>
      </c>
    </row>
    <row r="20" spans="1:9" s="69" customFormat="1" ht="25.5" customHeight="1">
      <c r="A20" s="111"/>
      <c r="B20" s="74">
        <f>B19+1</f>
        <v>3</v>
      </c>
      <c r="C20" s="74" t="str">
        <f>'ОС-01-01'!C20</f>
        <v>ЛС-01-01-03</v>
      </c>
      <c r="D20" s="75" t="str">
        <f>'ОС-01-01'!D20</f>
        <v>Устройство защиты кабелей сети связи</v>
      </c>
      <c r="E20" s="89">
        <v>42.09</v>
      </c>
      <c r="F20" s="89"/>
      <c r="G20" s="89"/>
      <c r="H20" s="89"/>
      <c r="I20" s="89">
        <f t="shared" si="0"/>
        <v>42.09</v>
      </c>
    </row>
    <row r="21" spans="1:9" s="116" customFormat="1" ht="20.100000000000001" customHeight="1">
      <c r="A21" s="112"/>
      <c r="B21" s="113"/>
      <c r="C21" s="113"/>
      <c r="D21" s="114" t="s">
        <v>60</v>
      </c>
      <c r="E21" s="115">
        <f>SUM(E18:E20)</f>
        <v>423.44</v>
      </c>
      <c r="F21" s="115"/>
      <c r="G21" s="115"/>
      <c r="H21" s="115"/>
      <c r="I21" s="115">
        <f t="shared" ref="I21" si="1">SUM(I18:I20)</f>
        <v>423.44</v>
      </c>
    </row>
    <row r="22" spans="1:9" s="76" customFormat="1" ht="97.5" customHeight="1">
      <c r="A22" s="31">
        <f>ССРтек!A30</f>
        <v>1.9199999999999998E-2</v>
      </c>
      <c r="B22" s="79">
        <f>B20+1</f>
        <v>4</v>
      </c>
      <c r="C22" s="81" t="str">
        <f>ИД!A24</f>
        <v>Методика утв. Приказом Минстрой РФ от 19.06.20г. №332/пр, Приложение 1, п.53</v>
      </c>
      <c r="D22" s="82" t="str">
        <f>ИД!B24</f>
        <v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</v>
      </c>
      <c r="E22" s="83">
        <f>E21*$A$22</f>
        <v>8.1300000000000008</v>
      </c>
      <c r="F22" s="83"/>
      <c r="G22" s="83"/>
      <c r="H22" s="84"/>
      <c r="I22" s="83">
        <f>SUM(E22:H22)</f>
        <v>8.1300000000000008</v>
      </c>
    </row>
    <row r="23" spans="1:9" s="76" customFormat="1" ht="18" customHeight="1">
      <c r="A23" s="22"/>
      <c r="B23" s="77"/>
      <c r="C23" s="77"/>
      <c r="D23" s="80" t="s">
        <v>60</v>
      </c>
      <c r="E23" s="84">
        <f>SUM(E21:E22)</f>
        <v>431.57</v>
      </c>
      <c r="F23" s="84"/>
      <c r="G23" s="84"/>
      <c r="H23" s="84"/>
      <c r="I23" s="84">
        <f t="shared" ref="I23" si="2">SUM(I21:I22)</f>
        <v>431.57</v>
      </c>
    </row>
    <row r="24" spans="1:9" s="76" customFormat="1" ht="67.5">
      <c r="A24" s="125">
        <f>ИД!$E$36</f>
        <v>0.03</v>
      </c>
      <c r="B24" s="79">
        <f>B22+1</f>
        <v>5</v>
      </c>
      <c r="C24" s="81" t="str">
        <f>ИД!$A$36</f>
        <v>Методика утв. Приказом Минстрой РФ от 04.08.2020г. №421/пр п.179</v>
      </c>
      <c r="D24" s="82" t="str">
        <f>CONCATENATE(ИД!$B$36," - ","3%",)</f>
        <v>Непредвиденные работы и затраты - 3%</v>
      </c>
      <c r="E24" s="83">
        <f>E23*A24</f>
        <v>12.95</v>
      </c>
      <c r="F24" s="83"/>
      <c r="G24" s="83"/>
      <c r="H24" s="83"/>
      <c r="I24" s="83">
        <f>SUM(E24:H24)</f>
        <v>12.95</v>
      </c>
    </row>
    <row r="25" spans="1:9" s="76" customFormat="1" ht="20.100000000000001" customHeight="1">
      <c r="A25" s="22"/>
      <c r="B25" s="88"/>
      <c r="C25" s="88"/>
      <c r="D25" s="88" t="s">
        <v>61</v>
      </c>
      <c r="E25" s="91">
        <f>SUM(E24:E24)</f>
        <v>12.95</v>
      </c>
      <c r="F25" s="91">
        <f>SUM(F24:F24)</f>
        <v>0</v>
      </c>
      <c r="G25" s="91">
        <f>SUM(G24:G24)</f>
        <v>0</v>
      </c>
      <c r="H25" s="91">
        <f>SUM(H24:H24)</f>
        <v>0</v>
      </c>
      <c r="I25" s="91">
        <f>SUM(I24:I24)</f>
        <v>12.95</v>
      </c>
    </row>
    <row r="26" spans="1:9" s="22" customFormat="1" ht="12.75"/>
    <row r="28" spans="1:9" s="59" customFormat="1">
      <c r="A28" s="111"/>
      <c r="D28" s="13"/>
    </row>
    <row r="29" spans="1:9" s="59" customFormat="1">
      <c r="A29" s="109"/>
      <c r="C29" s="87"/>
      <c r="D29" s="13" t="s">
        <v>30</v>
      </c>
      <c r="G29" s="59" t="str">
        <f>G33</f>
        <v>Н.В.Петров</v>
      </c>
    </row>
    <row r="30" spans="1:9" s="59" customFormat="1">
      <c r="A30" s="109"/>
      <c r="C30" s="87"/>
      <c r="D30" s="14"/>
    </row>
    <row r="31" spans="1:9" s="59" customFormat="1">
      <c r="A31" s="109"/>
      <c r="C31" s="87"/>
      <c r="D31" s="15" t="str">
        <f>ИД!$A$8</f>
        <v>Составил</v>
      </c>
      <c r="G31" s="59" t="str">
        <f>ИД!$B$8</f>
        <v>А.В.Исаев</v>
      </c>
    </row>
    <row r="32" spans="1:9" s="59" customFormat="1">
      <c r="A32" s="109"/>
      <c r="C32" s="87"/>
      <c r="D32" s="15"/>
    </row>
    <row r="33" spans="1:7" s="59" customFormat="1">
      <c r="A33" s="109"/>
      <c r="C33" s="87"/>
      <c r="D33" s="15" t="str">
        <f>ИД!$A$9</f>
        <v>Проверил</v>
      </c>
      <c r="E33" s="60"/>
      <c r="G33" s="59" t="str">
        <f>ИД!$B$9</f>
        <v>Н.В.Петров</v>
      </c>
    </row>
    <row r="34" spans="1:7" s="59" customFormat="1">
      <c r="A34" s="111"/>
      <c r="D34" s="15"/>
      <c r="E34" s="60"/>
    </row>
    <row r="35" spans="1:7" s="59" customFormat="1">
      <c r="A35" s="111"/>
      <c r="D35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ageMargins left="0.7" right="0.7" top="0.75" bottom="0.75" header="0.3" footer="0.3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topLeftCell="A10" zoomScaleNormal="100" zoomScaleSheetLayoutView="100" workbookViewId="0">
      <selection activeCell="G20" sqref="G20"/>
    </sheetView>
  </sheetViews>
  <sheetFormatPr defaultRowHeight="15"/>
  <cols>
    <col min="1" max="1" width="7.7109375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308" t="str">
        <f>CONCATENATE(ИД!$B$10,ИД!$C$11)</f>
        <v>«Реконструкция распределительных и квартальных тепловых сетей г. Благовещенска Амурской области» Объект 7: Тепловые сети по ул. Пушкина от ТК-317 до ТК-320, L=222,53 м, D = 426 мм.</v>
      </c>
      <c r="C1" s="308"/>
      <c r="D1" s="308"/>
      <c r="E1" s="308"/>
      <c r="F1" s="308"/>
      <c r="G1" s="308"/>
      <c r="H1" s="308"/>
      <c r="I1" s="308"/>
    </row>
    <row r="2" spans="1:9">
      <c r="B2" s="309" t="s">
        <v>12</v>
      </c>
      <c r="C2" s="309"/>
      <c r="D2" s="309"/>
      <c r="E2" s="309"/>
      <c r="F2" s="309"/>
      <c r="G2" s="309"/>
      <c r="H2" s="309"/>
      <c r="I2" s="309"/>
    </row>
    <row r="4" spans="1:9" ht="15.75">
      <c r="B4" s="310" t="s">
        <v>85</v>
      </c>
      <c r="C4" s="310"/>
      <c r="D4" s="310"/>
      <c r="E4" s="310"/>
      <c r="F4" s="310"/>
      <c r="G4" s="310"/>
      <c r="H4" s="310"/>
      <c r="I4" s="310"/>
    </row>
    <row r="5" spans="1:9" ht="15.75">
      <c r="B5" s="310" t="s">
        <v>95</v>
      </c>
      <c r="C5" s="310"/>
      <c r="D5" s="310"/>
      <c r="E5" s="310"/>
      <c r="F5" s="310"/>
      <c r="G5" s="310"/>
      <c r="H5" s="310"/>
      <c r="I5" s="310"/>
    </row>
    <row r="6" spans="1:9" ht="15.75">
      <c r="B6" s="127"/>
      <c r="C6" s="127"/>
      <c r="D6" s="127"/>
      <c r="E6" s="127"/>
      <c r="F6" s="127"/>
      <c r="G6" s="127"/>
      <c r="H6" s="127"/>
      <c r="I6" s="127"/>
    </row>
    <row r="7" spans="1:9" s="62" customFormat="1" ht="13.5">
      <c r="A7" s="110"/>
      <c r="B7" s="63"/>
      <c r="C7" s="63"/>
      <c r="D7" s="311" t="s">
        <v>62</v>
      </c>
      <c r="E7" s="311"/>
      <c r="F7" s="311"/>
      <c r="G7" s="311"/>
      <c r="H7" s="311"/>
      <c r="I7" s="63"/>
    </row>
    <row r="8" spans="1:9" s="62" customFormat="1" ht="13.5">
      <c r="A8" s="110"/>
      <c r="B8" s="64"/>
      <c r="C8" s="64"/>
      <c r="D8" s="65"/>
      <c r="E8" s="64"/>
      <c r="F8" s="64"/>
      <c r="G8" s="64"/>
      <c r="H8" s="64"/>
      <c r="I8" s="64"/>
    </row>
    <row r="9" spans="1:9" s="62" customFormat="1" ht="15" customHeight="1">
      <c r="A9" s="110"/>
      <c r="B9" s="64"/>
      <c r="C9" s="63"/>
      <c r="D9" s="307" t="s">
        <v>63</v>
      </c>
      <c r="E9" s="307"/>
      <c r="F9" s="307"/>
      <c r="G9" s="307"/>
      <c r="H9" s="66">
        <f>I28</f>
        <v>0</v>
      </c>
      <c r="I9" s="67" t="s">
        <v>28</v>
      </c>
    </row>
    <row r="10" spans="1:9" s="62" customFormat="1" ht="32.1" customHeight="1">
      <c r="A10" s="110"/>
      <c r="B10" s="64"/>
      <c r="C10" s="63"/>
      <c r="D10" s="305" t="s">
        <v>64</v>
      </c>
      <c r="E10" s="305"/>
      <c r="F10" s="305"/>
      <c r="G10" s="305"/>
      <c r="H10" s="68" t="e">
        <f>ИД!#REF!</f>
        <v>#REF!</v>
      </c>
      <c r="I10" s="90" t="e">
        <f>ИД!#REF!</f>
        <v>#REF!</v>
      </c>
    </row>
    <row r="11" spans="1:9" s="62" customFormat="1" ht="32.1" customHeight="1">
      <c r="A11" s="110"/>
      <c r="B11" s="64"/>
      <c r="C11" s="63"/>
      <c r="D11" s="305" t="s">
        <v>65</v>
      </c>
      <c r="E11" s="305"/>
      <c r="F11" s="305"/>
      <c r="G11" s="305"/>
      <c r="H11" s="68" t="e">
        <f>H9/H10*1000</f>
        <v>#REF!</v>
      </c>
      <c r="I11" s="129" t="s">
        <v>66</v>
      </c>
    </row>
    <row r="12" spans="1:9" s="69" customFormat="1" ht="13.5">
      <c r="A12" s="111"/>
      <c r="B12" s="70"/>
      <c r="C12" s="70"/>
      <c r="D12" s="70"/>
      <c r="E12" s="70"/>
      <c r="F12" s="70"/>
      <c r="G12" s="71"/>
      <c r="H12" s="70"/>
      <c r="I12" s="70"/>
    </row>
    <row r="13" spans="1:9" s="69" customFormat="1" ht="13.5">
      <c r="A13" s="111"/>
      <c r="C13" s="71"/>
      <c r="D13" s="72" t="s">
        <v>96</v>
      </c>
      <c r="E13" s="72"/>
      <c r="F13" s="72"/>
      <c r="G13" s="72"/>
      <c r="H13" s="72"/>
      <c r="I13" s="72"/>
    </row>
    <row r="14" spans="1:9" ht="15.75">
      <c r="B14" s="127"/>
      <c r="C14" s="127"/>
      <c r="D14" s="58"/>
      <c r="E14" s="58"/>
      <c r="F14" s="58"/>
      <c r="G14" s="35"/>
      <c r="H14" s="33"/>
      <c r="I14" s="127"/>
    </row>
    <row r="15" spans="1:9" ht="15" customHeight="1">
      <c r="B15" s="306" t="s">
        <v>16</v>
      </c>
      <c r="C15" s="306" t="s">
        <v>67</v>
      </c>
      <c r="D15" s="306" t="s">
        <v>68</v>
      </c>
      <c r="E15" s="306" t="s">
        <v>17</v>
      </c>
      <c r="F15" s="306"/>
      <c r="G15" s="306"/>
      <c r="H15" s="306"/>
      <c r="I15" s="306"/>
    </row>
    <row r="16" spans="1:9" ht="85.5" customHeight="1">
      <c r="B16" s="306"/>
      <c r="C16" s="306"/>
      <c r="D16" s="306"/>
      <c r="E16" s="73" t="s">
        <v>69</v>
      </c>
      <c r="F16" s="128" t="s">
        <v>15</v>
      </c>
      <c r="G16" s="128" t="s">
        <v>70</v>
      </c>
      <c r="H16" s="128" t="s">
        <v>71</v>
      </c>
      <c r="I16" s="128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69" customFormat="1" ht="20.25" customHeight="1">
      <c r="A18" s="111"/>
      <c r="B18" s="74">
        <v>1</v>
      </c>
      <c r="C18" s="74" t="s">
        <v>86</v>
      </c>
      <c r="D18" s="75" t="s">
        <v>91</v>
      </c>
      <c r="E18" s="89">
        <v>0</v>
      </c>
      <c r="F18" s="89"/>
      <c r="G18" s="89"/>
      <c r="H18" s="89"/>
      <c r="I18" s="89">
        <f>SUM(E18:H18)</f>
        <v>0</v>
      </c>
    </row>
    <row r="19" spans="1:9" s="69" customFormat="1" ht="20.25" customHeight="1">
      <c r="A19" s="111"/>
      <c r="B19" s="74">
        <f>B18+1</f>
        <v>2</v>
      </c>
      <c r="C19" s="74" t="s">
        <v>87</v>
      </c>
      <c r="D19" s="75" t="s">
        <v>92</v>
      </c>
      <c r="E19" s="89">
        <v>0</v>
      </c>
      <c r="F19" s="89"/>
      <c r="G19" s="89"/>
      <c r="H19" s="89"/>
      <c r="I19" s="89">
        <f t="shared" ref="I19:I21" si="0">SUM(E19:H19)</f>
        <v>0</v>
      </c>
    </row>
    <row r="20" spans="1:9" s="69" customFormat="1" ht="20.25" customHeight="1">
      <c r="A20" s="111"/>
      <c r="B20" s="74">
        <f t="shared" ref="B20:B21" si="1">B19+1</f>
        <v>3</v>
      </c>
      <c r="C20" s="74" t="s">
        <v>88</v>
      </c>
      <c r="D20" s="75" t="s">
        <v>90</v>
      </c>
      <c r="E20" s="89">
        <v>0</v>
      </c>
      <c r="F20" s="89">
        <v>0</v>
      </c>
      <c r="G20" s="89"/>
      <c r="H20" s="89"/>
      <c r="I20" s="89">
        <f t="shared" si="0"/>
        <v>0</v>
      </c>
    </row>
    <row r="21" spans="1:9" s="69" customFormat="1" ht="20.25" customHeight="1">
      <c r="A21" s="111"/>
      <c r="B21" s="74">
        <f t="shared" si="1"/>
        <v>4</v>
      </c>
      <c r="C21" s="74" t="s">
        <v>89</v>
      </c>
      <c r="D21" s="75" t="s">
        <v>93</v>
      </c>
      <c r="E21" s="89">
        <v>0</v>
      </c>
      <c r="F21" s="89">
        <v>0</v>
      </c>
      <c r="G21" s="89">
        <v>0</v>
      </c>
      <c r="H21" s="89"/>
      <c r="I21" s="89">
        <f t="shared" si="0"/>
        <v>0</v>
      </c>
    </row>
    <row r="22" spans="1:9" s="116" customFormat="1" ht="15" customHeight="1">
      <c r="A22" s="112"/>
      <c r="B22" s="113"/>
      <c r="C22" s="113"/>
      <c r="D22" s="114" t="s">
        <v>60</v>
      </c>
      <c r="E22" s="115">
        <f>SUM(E18:E21)</f>
        <v>0</v>
      </c>
      <c r="F22" s="115">
        <f>SUM(F18:F21)</f>
        <v>0</v>
      </c>
      <c r="G22" s="115">
        <f>SUM(G18:G21)</f>
        <v>0</v>
      </c>
      <c r="H22" s="115">
        <f>SUM(H18:H21)</f>
        <v>0</v>
      </c>
      <c r="I22" s="115">
        <f>SUM(I18:I21)</f>
        <v>0</v>
      </c>
    </row>
    <row r="23" spans="1:9" s="76" customFormat="1" ht="81">
      <c r="A23" s="31">
        <f>ИД!$G$24%</f>
        <v>1.9199999999999998E-2</v>
      </c>
      <c r="B23" s="79">
        <f>B21+1</f>
        <v>5</v>
      </c>
      <c r="C23" s="117" t="str">
        <f>ИД!$A$24</f>
        <v>Методика утв. Приказом Минстрой РФ от 19.06.20г. №332/пр, Приложение 1, п.53</v>
      </c>
      <c r="D23" s="82" t="str">
        <f>CONCATENATE(ИД!$B$24," - ",ИД!$D$24,ИД!$E$24,"х",ИД!$F$24,"=",ИД!$G$24,ИД!$E$24)</f>
        <v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 - 2,4%х0,8=1,92%</v>
      </c>
      <c r="E23" s="83">
        <f>E22*$A$23</f>
        <v>0</v>
      </c>
      <c r="F23" s="83">
        <f>F22*A23</f>
        <v>0</v>
      </c>
      <c r="G23" s="83"/>
      <c r="H23" s="84"/>
      <c r="I23" s="83">
        <f>SUM(E23:H23)</f>
        <v>0</v>
      </c>
    </row>
    <row r="24" spans="1:9" s="76" customFormat="1" ht="18" customHeight="1">
      <c r="A24" s="22"/>
      <c r="B24" s="77"/>
      <c r="C24" s="77"/>
      <c r="D24" s="80" t="s">
        <v>60</v>
      </c>
      <c r="E24" s="84">
        <f>SUM(E22:E23)</f>
        <v>0</v>
      </c>
      <c r="F24" s="84">
        <f t="shared" ref="F24:I24" si="2">SUM(F22:F23)</f>
        <v>0</v>
      </c>
      <c r="G24" s="84">
        <f t="shared" si="2"/>
        <v>0</v>
      </c>
      <c r="H24" s="84">
        <f t="shared" si="2"/>
        <v>0</v>
      </c>
      <c r="I24" s="84">
        <f t="shared" si="2"/>
        <v>0</v>
      </c>
    </row>
    <row r="25" spans="1:9" s="76" customFormat="1" ht="13.5">
      <c r="A25" s="157">
        <v>0.1125</v>
      </c>
      <c r="B25" s="79">
        <f>B23+1</f>
        <v>6</v>
      </c>
      <c r="C25" s="81" t="e">
        <f>ИД!#REF!</f>
        <v>#REF!</v>
      </c>
      <c r="D25" s="85" t="e">
        <f>CONCATENATE(ИД!#REF!," - ",ИД!#REF!,ИД!#REF!,"*",0.9,"=",11.25,"%")</f>
        <v>#REF!</v>
      </c>
      <c r="E25" s="83">
        <f>E24*A25</f>
        <v>0</v>
      </c>
      <c r="F25" s="126">
        <f>F24*A25</f>
        <v>0</v>
      </c>
      <c r="G25" s="77"/>
      <c r="H25" s="77"/>
      <c r="I25" s="83">
        <f>SUM(E25:H25)</f>
        <v>0</v>
      </c>
    </row>
    <row r="26" spans="1:9" s="76" customFormat="1" ht="18" customHeight="1">
      <c r="A26" s="28"/>
      <c r="B26" s="79"/>
      <c r="C26" s="86"/>
      <c r="D26" s="80" t="s">
        <v>60</v>
      </c>
      <c r="E26" s="84">
        <f>SUM(E24:E25)</f>
        <v>0</v>
      </c>
      <c r="F26" s="84">
        <f>SUM(F24:F25)</f>
        <v>0</v>
      </c>
      <c r="G26" s="84">
        <f>SUM(G24:G25)</f>
        <v>0</v>
      </c>
      <c r="H26" s="84">
        <f>SUM(H24:H25)</f>
        <v>0</v>
      </c>
      <c r="I26" s="84">
        <f>SUM(I24:I25)</f>
        <v>0</v>
      </c>
    </row>
    <row r="27" spans="1:9" s="76" customFormat="1" ht="60">
      <c r="A27" s="31">
        <f>ИД!$E$36</f>
        <v>0.03</v>
      </c>
      <c r="B27" s="79">
        <f>B25+1</f>
        <v>7</v>
      </c>
      <c r="C27" s="117" t="str">
        <f>ИД!$A$36</f>
        <v>Методика утв. Приказом Минстрой РФ от 04.08.2020г. №421/пр п.179</v>
      </c>
      <c r="D27" s="82" t="str">
        <f>CONCATENATE(ИД!$B$36," - ","1,5%",)</f>
        <v>Непредвиденные работы и затраты - 1,5%</v>
      </c>
      <c r="E27" s="83">
        <f>E26*$A$27</f>
        <v>0</v>
      </c>
      <c r="F27" s="83">
        <f t="shared" ref="F27:H27" si="3">F26*$A$27</f>
        <v>0</v>
      </c>
      <c r="G27" s="83">
        <f>G26*$A$27</f>
        <v>0</v>
      </c>
      <c r="H27" s="83">
        <f t="shared" si="3"/>
        <v>0</v>
      </c>
      <c r="I27" s="83">
        <f>SUM(E27:H27)</f>
        <v>0</v>
      </c>
    </row>
    <row r="28" spans="1:9" s="76" customFormat="1" ht="20.100000000000001" customHeight="1">
      <c r="A28" s="22"/>
      <c r="B28" s="88"/>
      <c r="C28" s="88"/>
      <c r="D28" s="88" t="s">
        <v>61</v>
      </c>
      <c r="E28" s="91">
        <f>SUM(E26:E27)</f>
        <v>0</v>
      </c>
      <c r="F28" s="91">
        <f t="shared" ref="F28:I28" si="4">SUM(F26:F27)</f>
        <v>0</v>
      </c>
      <c r="G28" s="91">
        <f t="shared" si="4"/>
        <v>0</v>
      </c>
      <c r="H28" s="91">
        <f t="shared" si="4"/>
        <v>0</v>
      </c>
      <c r="I28" s="91">
        <f t="shared" si="4"/>
        <v>0</v>
      </c>
    </row>
    <row r="29" spans="1:9" s="22" customFormat="1" ht="12.75"/>
    <row r="31" spans="1:9" s="59" customFormat="1">
      <c r="A31" s="111"/>
      <c r="D31" s="13" t="s">
        <v>30</v>
      </c>
      <c r="G31" s="59" t="str">
        <f>ИД!$B$7</f>
        <v>Н.В.Петров</v>
      </c>
    </row>
    <row r="32" spans="1:9" s="59" customFormat="1">
      <c r="A32" s="111"/>
      <c r="D32" s="14"/>
    </row>
    <row r="33" spans="1:7" s="59" customFormat="1">
      <c r="A33" s="111"/>
      <c r="D33" s="59" t="e">
        <f>ИД!#REF!</f>
        <v>#REF!</v>
      </c>
      <c r="G33" s="59" t="e">
        <f>ИД!#REF!</f>
        <v>#REF!</v>
      </c>
    </row>
    <row r="34" spans="1:7" s="59" customFormat="1">
      <c r="A34" s="111"/>
      <c r="D34" s="15"/>
    </row>
    <row r="35" spans="1:7" s="59" customFormat="1">
      <c r="A35" s="111"/>
      <c r="D35" s="15" t="str">
        <f>ИД!$A$8</f>
        <v>Составил</v>
      </c>
      <c r="G35" s="59" t="str">
        <f>ИД!$B$8</f>
        <v>А.В.Исаев</v>
      </c>
    </row>
    <row r="36" spans="1:7" s="59" customFormat="1">
      <c r="A36" s="111"/>
      <c r="D36" s="15"/>
    </row>
    <row r="37" spans="1:7" s="59" customFormat="1">
      <c r="A37" s="111"/>
      <c r="D37" s="15" t="str">
        <f>ИД!$A$9</f>
        <v>Проверил</v>
      </c>
      <c r="E37" s="60"/>
      <c r="G37" s="59" t="str">
        <f>ИД!$B$9</f>
        <v>Н.В.Петров</v>
      </c>
    </row>
    <row r="38" spans="1:7" s="59" customFormat="1">
      <c r="A38" s="111"/>
      <c r="D38" s="16"/>
    </row>
  </sheetData>
  <mergeCells count="12">
    <mergeCell ref="D10:G10"/>
    <mergeCell ref="D11:G11"/>
    <mergeCell ref="B15:B16"/>
    <mergeCell ref="C15:C16"/>
    <mergeCell ref="D15:D16"/>
    <mergeCell ref="E15:I15"/>
    <mergeCell ref="D9:G9"/>
    <mergeCell ref="B1:I1"/>
    <mergeCell ref="B2:I2"/>
    <mergeCell ref="B4:I4"/>
    <mergeCell ref="B5:I5"/>
    <mergeCell ref="D7:H7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12289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1228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Zeros="0" view="pageBreakPreview" topLeftCell="A41" zoomScaleNormal="100" zoomScaleSheetLayoutView="100" workbookViewId="0">
      <selection activeCell="H50" sqref="H50"/>
    </sheetView>
  </sheetViews>
  <sheetFormatPr defaultRowHeight="15"/>
  <cols>
    <col min="1" max="1" width="6.42578125" style="32" bestFit="1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9.140625" style="38"/>
    <col min="11" max="16384" width="9.140625" style="32"/>
  </cols>
  <sheetData>
    <row r="1" spans="2:9">
      <c r="B1" s="2"/>
      <c r="C1" s="3"/>
      <c r="D1" s="50"/>
      <c r="E1" s="2"/>
      <c r="F1" s="2"/>
      <c r="G1" s="2"/>
      <c r="H1" s="2"/>
      <c r="I1" s="5" t="s">
        <v>8</v>
      </c>
    </row>
    <row r="2" spans="2:9">
      <c r="B2" s="2"/>
      <c r="C2" s="3" t="s">
        <v>9</v>
      </c>
      <c r="D2" s="302" t="str">
        <f>ИД!B2</f>
        <v>ООО "Север"</v>
      </c>
      <c r="E2" s="302"/>
      <c r="F2" s="302"/>
      <c r="G2" s="302"/>
      <c r="H2" s="302"/>
      <c r="I2" s="2"/>
    </row>
    <row r="3" spans="2:9">
      <c r="B3" s="2"/>
      <c r="C3" s="3"/>
      <c r="D3" s="303" t="s">
        <v>10</v>
      </c>
      <c r="E3" s="303"/>
      <c r="F3" s="303"/>
      <c r="G3" s="303"/>
      <c r="H3" s="303"/>
      <c r="I3" s="2"/>
    </row>
    <row r="4" spans="2:9">
      <c r="B4" s="2"/>
      <c r="C4" s="3" t="s">
        <v>165</v>
      </c>
      <c r="D4" s="6"/>
      <c r="E4" s="2"/>
      <c r="F4" s="7"/>
      <c r="G4" s="2"/>
      <c r="H4" s="2"/>
      <c r="I4" s="2"/>
    </row>
    <row r="5" spans="2:9">
      <c r="B5" s="2"/>
      <c r="C5" s="3"/>
      <c r="D5" s="50"/>
      <c r="E5" s="2"/>
      <c r="F5" s="7"/>
      <c r="G5" s="2"/>
      <c r="H5" s="2"/>
      <c r="I5" s="2"/>
    </row>
    <row r="6" spans="2:9">
      <c r="B6" s="2"/>
      <c r="C6" s="53" t="str">
        <f>" Сводный сметный расчет сметной стоимостью     "&amp;I54&amp;"     тыс.руб."</f>
        <v xml:space="preserve"> Сводный сметный расчет сметной стоимостью     2990,38     тыс.руб.</v>
      </c>
      <c r="D6" s="50"/>
      <c r="E6" s="2"/>
      <c r="F6" s="7"/>
      <c r="G6" s="2"/>
      <c r="H6" s="2"/>
      <c r="I6" s="2"/>
    </row>
    <row r="7" spans="2:9">
      <c r="B7" s="2"/>
      <c r="C7" s="8"/>
      <c r="D7" s="302"/>
      <c r="E7" s="302"/>
      <c r="F7" s="302"/>
      <c r="G7" s="302"/>
      <c r="H7" s="302"/>
      <c r="I7" s="2"/>
    </row>
    <row r="8" spans="2:9">
      <c r="B8" s="2"/>
      <c r="C8" s="3"/>
      <c r="D8" s="303" t="s">
        <v>11</v>
      </c>
      <c r="E8" s="303"/>
      <c r="F8" s="303"/>
      <c r="G8" s="303"/>
      <c r="H8" s="303"/>
      <c r="I8" s="2"/>
    </row>
    <row r="9" spans="2:9">
      <c r="B9" s="2"/>
      <c r="C9" s="3"/>
      <c r="D9" s="50"/>
      <c r="E9" s="9"/>
      <c r="F9" s="9"/>
      <c r="G9" s="9"/>
      <c r="H9" s="2"/>
      <c r="I9" s="2"/>
    </row>
    <row r="10" spans="2:9" ht="18.75" customHeight="1">
      <c r="B10" s="2"/>
      <c r="C10" s="3"/>
      <c r="D10" s="304" t="s">
        <v>102</v>
      </c>
      <c r="E10" s="304"/>
      <c r="F10" s="304"/>
      <c r="G10" s="304"/>
      <c r="H10" s="304"/>
      <c r="I10" s="2"/>
    </row>
    <row r="11" spans="2:9">
      <c r="B11" s="2"/>
      <c r="C11" s="3"/>
      <c r="D11" s="50"/>
      <c r="E11" s="9"/>
      <c r="F11" s="9"/>
      <c r="G11" s="2"/>
      <c r="H11" s="2"/>
      <c r="I11" s="2"/>
    </row>
    <row r="12" spans="2:9" ht="29.25" customHeight="1">
      <c r="B12" s="2"/>
      <c r="C12" s="3"/>
      <c r="D12" s="301" t="str">
        <f>CONCATENATE(ИД!B10,ИД!C11)</f>
        <v>«Реконструкция распределительных и квартальных тепловых сетей г. Благовещенска Амурской области» Объект 7: Тепловые сети по ул. Пушкина от ТК-317 до ТК-320, L=222,53 м, D = 426 мм.</v>
      </c>
      <c r="E12" s="301"/>
      <c r="F12" s="301"/>
      <c r="G12" s="301"/>
      <c r="H12" s="301"/>
      <c r="I12" s="2"/>
    </row>
    <row r="13" spans="2:9">
      <c r="B13" s="2"/>
      <c r="C13" s="3"/>
      <c r="D13" s="303" t="s">
        <v>12</v>
      </c>
      <c r="E13" s="303"/>
      <c r="F13" s="303"/>
      <c r="G13" s="303"/>
      <c r="H13" s="303"/>
      <c r="I13" s="2"/>
    </row>
    <row r="14" spans="2:9" ht="21" customHeight="1">
      <c r="B14" s="296" t="s">
        <v>27</v>
      </c>
      <c r="C14" s="296"/>
      <c r="D14" s="296"/>
      <c r="E14" s="296"/>
      <c r="F14" s="296"/>
      <c r="G14" s="296"/>
      <c r="H14" s="296"/>
      <c r="I14" s="296"/>
    </row>
    <row r="15" spans="2:9" ht="15" customHeight="1">
      <c r="B15" s="297" t="s">
        <v>13</v>
      </c>
      <c r="C15" s="298" t="s">
        <v>67</v>
      </c>
      <c r="D15" s="297" t="s">
        <v>77</v>
      </c>
      <c r="E15" s="312" t="s">
        <v>14</v>
      </c>
      <c r="F15" s="312"/>
      <c r="G15" s="312"/>
      <c r="H15" s="312"/>
      <c r="I15" s="312"/>
    </row>
    <row r="16" spans="2:9" ht="81.75" customHeight="1">
      <c r="B16" s="297"/>
      <c r="C16" s="298"/>
      <c r="D16" s="297"/>
      <c r="E16" s="104" t="s">
        <v>78</v>
      </c>
      <c r="F16" s="104" t="s">
        <v>15</v>
      </c>
      <c r="G16" s="104" t="s">
        <v>70</v>
      </c>
      <c r="H16" s="104" t="s">
        <v>79</v>
      </c>
      <c r="I16" s="104" t="s">
        <v>18</v>
      </c>
    </row>
    <row r="17" spans="1:14">
      <c r="B17" s="56">
        <v>1</v>
      </c>
      <c r="C17" s="10">
        <v>2</v>
      </c>
      <c r="D17" s="56">
        <v>3</v>
      </c>
      <c r="E17" s="56">
        <v>4</v>
      </c>
      <c r="F17" s="56">
        <v>5</v>
      </c>
      <c r="G17" s="56">
        <v>6</v>
      </c>
      <c r="H17" s="56">
        <v>7</v>
      </c>
      <c r="I17" s="56">
        <v>8</v>
      </c>
    </row>
    <row r="18" spans="1:14" s="22" customFormat="1" ht="21" customHeight="1">
      <c r="A18" s="28"/>
      <c r="B18" s="291" t="s">
        <v>29</v>
      </c>
      <c r="C18" s="292"/>
      <c r="D18" s="292"/>
      <c r="E18" s="292"/>
      <c r="F18" s="292"/>
      <c r="G18" s="292"/>
      <c r="H18" s="292"/>
      <c r="I18" s="292"/>
      <c r="J18" s="38"/>
    </row>
    <row r="19" spans="1:14" s="22" customFormat="1" ht="28.5" customHeight="1">
      <c r="A19" s="28"/>
      <c r="B19" s="226">
        <v>1</v>
      </c>
      <c r="C19" s="225" t="str">
        <f>ИД!A23</f>
        <v>09-01-23-4-ООС</v>
      </c>
      <c r="D19" s="225" t="str">
        <f>CONCATENATE(ИД!B23,"(",ИД!E23,"/",ИД!B15,")")</f>
        <v>Компенсационные выплаты за снос зеленых насаждений (101,51/14,17)</v>
      </c>
      <c r="E19" s="225"/>
      <c r="F19" s="225"/>
      <c r="G19" s="225"/>
      <c r="H19" s="228">
        <f>ИД!E23/ИД!B15</f>
        <v>7.16</v>
      </c>
      <c r="I19" s="228">
        <f>SUM(E19:H19)</f>
        <v>7.16</v>
      </c>
      <c r="J19" s="38"/>
    </row>
    <row r="20" spans="1:14" s="22" customFormat="1" ht="27.75" customHeight="1">
      <c r="A20" s="28"/>
      <c r="B20" s="39">
        <f>B19+1</f>
        <v>2</v>
      </c>
      <c r="C20" s="23" t="s">
        <v>147</v>
      </c>
      <c r="D20" s="24" t="s">
        <v>146</v>
      </c>
      <c r="E20" s="23">
        <f>'ОС-01-01'!E21</f>
        <v>17.48</v>
      </c>
      <c r="F20" s="23">
        <f>'ОС-01-01'!F21</f>
        <v>0</v>
      </c>
      <c r="G20" s="23"/>
      <c r="H20" s="23"/>
      <c r="I20" s="23">
        <f t="shared" ref="I20" si="0">SUM(E20:H20)</f>
        <v>17.48</v>
      </c>
      <c r="J20" s="38"/>
      <c r="L20" s="219"/>
    </row>
    <row r="21" spans="1:14" s="22" customFormat="1" ht="20.100000000000001" customHeight="1">
      <c r="A21" s="28"/>
      <c r="B21" s="39"/>
      <c r="C21" s="20"/>
      <c r="D21" s="21" t="s">
        <v>33</v>
      </c>
      <c r="E21" s="18">
        <f>SUM(E19:E20)</f>
        <v>17.48</v>
      </c>
      <c r="F21" s="18">
        <f>SUM(F19:F20)</f>
        <v>0</v>
      </c>
      <c r="G21" s="18">
        <f>SUM(G19:G20)</f>
        <v>0</v>
      </c>
      <c r="H21" s="18">
        <f>SUM(H19:H20)</f>
        <v>7.16</v>
      </c>
      <c r="I21" s="18">
        <f>SUM(I19:I20)</f>
        <v>24.64</v>
      </c>
      <c r="J21" s="41" t="b">
        <f>SUM(E21:H21)=SUM(I19:I20)</f>
        <v>1</v>
      </c>
    </row>
    <row r="22" spans="1:14" s="22" customFormat="1" ht="20.100000000000001" customHeight="1">
      <c r="A22" s="28"/>
      <c r="B22" s="291" t="s">
        <v>34</v>
      </c>
      <c r="C22" s="292"/>
      <c r="D22" s="292"/>
      <c r="E22" s="292"/>
      <c r="F22" s="292"/>
      <c r="G22" s="292"/>
      <c r="H22" s="292"/>
      <c r="I22" s="292"/>
      <c r="J22" s="38"/>
    </row>
    <row r="23" spans="1:14" s="22" customFormat="1" ht="24" customHeight="1">
      <c r="A23" s="28"/>
      <c r="B23" s="39">
        <f>B20+1</f>
        <v>3</v>
      </c>
      <c r="C23" s="23" t="s">
        <v>148</v>
      </c>
      <c r="D23" s="24" t="s">
        <v>150</v>
      </c>
      <c r="E23" s="23">
        <v>1845.7</v>
      </c>
      <c r="F23" s="23">
        <v>24.17</v>
      </c>
      <c r="G23" s="23"/>
      <c r="H23" s="23"/>
      <c r="I23" s="23">
        <f>SUM(E23:H23)</f>
        <v>1869.87</v>
      </c>
      <c r="J23" s="38"/>
      <c r="L23" s="219"/>
    </row>
    <row r="24" spans="1:14" s="22" customFormat="1" ht="20.100000000000001" customHeight="1">
      <c r="A24" s="28"/>
      <c r="B24" s="19"/>
      <c r="C24" s="20"/>
      <c r="D24" s="21" t="s">
        <v>35</v>
      </c>
      <c r="E24" s="18">
        <f>SUM(E23:E23)</f>
        <v>1845.7</v>
      </c>
      <c r="F24" s="18">
        <f>SUM(F23:F23)</f>
        <v>24.17</v>
      </c>
      <c r="G24" s="18">
        <f>SUM(G23:G23)</f>
        <v>0</v>
      </c>
      <c r="H24" s="18">
        <f>SUM(H23:H23)</f>
        <v>0</v>
      </c>
      <c r="I24" s="18">
        <f>SUM(I23:I23)</f>
        <v>1869.87</v>
      </c>
      <c r="J24" s="41" t="b">
        <f>SUM(E24:H24)=SUM(I23:I23)</f>
        <v>1</v>
      </c>
    </row>
    <row r="25" spans="1:14" s="22" customFormat="1" ht="22.5" customHeight="1">
      <c r="A25" s="28"/>
      <c r="B25" s="291" t="s">
        <v>83</v>
      </c>
      <c r="C25" s="292"/>
      <c r="D25" s="292"/>
      <c r="E25" s="292"/>
      <c r="F25" s="292"/>
      <c r="G25" s="292"/>
      <c r="H25" s="292"/>
      <c r="I25" s="292"/>
      <c r="J25" s="41"/>
    </row>
    <row r="26" spans="1:14" s="111" customFormat="1" ht="27" customHeight="1">
      <c r="A26" s="29"/>
      <c r="B26" s="124">
        <f>B23+1</f>
        <v>4</v>
      </c>
      <c r="C26" s="165" t="s">
        <v>149</v>
      </c>
      <c r="D26" s="40" t="s">
        <v>151</v>
      </c>
      <c r="E26" s="36">
        <v>212.16</v>
      </c>
      <c r="F26" s="36"/>
      <c r="G26" s="36"/>
      <c r="H26" s="36"/>
      <c r="I26" s="165">
        <f t="shared" ref="I26" si="1">SUM(E26:H26)</f>
        <v>212.16</v>
      </c>
      <c r="J26" s="41"/>
      <c r="L26" s="220"/>
    </row>
    <row r="27" spans="1:14" s="22" customFormat="1" ht="20.100000000000001" customHeight="1">
      <c r="A27" s="28"/>
      <c r="B27" s="19"/>
      <c r="C27" s="20"/>
      <c r="D27" s="21" t="s">
        <v>84</v>
      </c>
      <c r="E27" s="18">
        <f>SUM(E26:E26)</f>
        <v>212.16</v>
      </c>
      <c r="F27" s="18">
        <f>SUM(F26:F26)</f>
        <v>0</v>
      </c>
      <c r="G27" s="18">
        <f>SUM(G26:G26)</f>
        <v>0</v>
      </c>
      <c r="H27" s="18">
        <f>SUM(H26:H26)</f>
        <v>0</v>
      </c>
      <c r="I27" s="18">
        <f>SUM(I26:I26)</f>
        <v>212.16</v>
      </c>
      <c r="J27" s="41"/>
    </row>
    <row r="28" spans="1:14" s="22" customFormat="1" ht="20.100000000000001" customHeight="1">
      <c r="A28" s="29"/>
      <c r="B28" s="176"/>
      <c r="C28" s="17"/>
      <c r="D28" s="174" t="s">
        <v>36</v>
      </c>
      <c r="E28" s="18">
        <f>E21+E24+E27</f>
        <v>2075.34</v>
      </c>
      <c r="F28" s="18">
        <f>F21+F24+F27</f>
        <v>24.17</v>
      </c>
      <c r="G28" s="18">
        <f>G21+G24+G27</f>
        <v>0</v>
      </c>
      <c r="H28" s="18">
        <f>H21+H24+H27</f>
        <v>7.16</v>
      </c>
      <c r="I28" s="18">
        <f>I21+I24+I27</f>
        <v>2106.67</v>
      </c>
      <c r="J28" s="41" t="b">
        <f>SUM(E28:H28)=I21+I24+I27</f>
        <v>1</v>
      </c>
      <c r="K28" s="218"/>
      <c r="L28" s="218"/>
      <c r="M28" s="218"/>
      <c r="N28" s="218">
        <f>E20+E23+F23+E26</f>
        <v>2099.5100000000002</v>
      </c>
    </row>
    <row r="29" spans="1:14" s="22" customFormat="1" ht="20.100000000000001" customHeight="1">
      <c r="A29" s="28"/>
      <c r="B29" s="291" t="s">
        <v>37</v>
      </c>
      <c r="C29" s="292"/>
      <c r="D29" s="292"/>
      <c r="E29" s="292"/>
      <c r="F29" s="292"/>
      <c r="G29" s="292"/>
      <c r="H29" s="292"/>
      <c r="I29" s="292"/>
      <c r="J29" s="38"/>
    </row>
    <row r="30" spans="1:14" s="22" customFormat="1" ht="66.75" customHeight="1">
      <c r="A30" s="31">
        <f>ИД!$G$24%</f>
        <v>1.9199999999999998E-2</v>
      </c>
      <c r="B30" s="162">
        <f>B26+1</f>
        <v>5</v>
      </c>
      <c r="C30" s="179" t="str">
        <f>ИД!$A$24</f>
        <v>Методика утв. Приказом Минстрой РФ от 19.06.20г. №332/пр, Приложение 1, п.53</v>
      </c>
      <c r="D30" s="180" t="str">
        <f>CONCATENATE(ИД!$B$24," - ",ИД!$D$24,ИД!$E$24,"х",ИД!$F$24,"=",ИД!$G$24,ИД!$E$24)</f>
        <v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 - 2,4%х0,8=1,92%</v>
      </c>
      <c r="E30" s="37">
        <f>E28*A30</f>
        <v>39.85</v>
      </c>
      <c r="F30" s="37">
        <f>F28*A30</f>
        <v>0.46</v>
      </c>
      <c r="G30" s="23"/>
      <c r="H30" s="23"/>
      <c r="I30" s="23">
        <f>SUM(E30:H30)</f>
        <v>40.31</v>
      </c>
      <c r="J30" s="38"/>
    </row>
    <row r="31" spans="1:14" s="22" customFormat="1" ht="20.100000000000001" customHeight="1">
      <c r="A31" s="28"/>
      <c r="B31" s="19"/>
      <c r="C31" s="24"/>
      <c r="D31" s="21" t="s">
        <v>38</v>
      </c>
      <c r="E31" s="18">
        <f>SUM(E30:E30)</f>
        <v>39.85</v>
      </c>
      <c r="F31" s="18">
        <f>SUM(F30:F30)</f>
        <v>0.46</v>
      </c>
      <c r="G31" s="18">
        <f>SUM(G30:G30)</f>
        <v>0</v>
      </c>
      <c r="H31" s="18">
        <f>SUM(H30:H30)</f>
        <v>0</v>
      </c>
      <c r="I31" s="18">
        <f>SUM(I30:I30)</f>
        <v>40.31</v>
      </c>
      <c r="J31" s="41" t="b">
        <f>SUM(E31:H31)=SUM(I30:I30)</f>
        <v>1</v>
      </c>
    </row>
    <row r="32" spans="1:14" s="22" customFormat="1" ht="20.100000000000001" customHeight="1">
      <c r="A32" s="28"/>
      <c r="B32" s="176"/>
      <c r="C32" s="17"/>
      <c r="D32" s="174" t="s">
        <v>39</v>
      </c>
      <c r="E32" s="18">
        <f>E28+E31</f>
        <v>2115.19</v>
      </c>
      <c r="F32" s="18">
        <f>F28+F31</f>
        <v>24.63</v>
      </c>
      <c r="G32" s="18">
        <f>G28+G31</f>
        <v>0</v>
      </c>
      <c r="H32" s="18">
        <f>H28+H31</f>
        <v>7.16</v>
      </c>
      <c r="I32" s="18">
        <f>I28+I31</f>
        <v>2146.98</v>
      </c>
      <c r="J32" s="41" t="b">
        <f>SUM(E32:H32)=I28+I31</f>
        <v>1</v>
      </c>
    </row>
    <row r="33" spans="1:10" s="22" customFormat="1" ht="18" customHeight="1">
      <c r="A33" s="28"/>
      <c r="B33" s="291" t="s">
        <v>40</v>
      </c>
      <c r="C33" s="292"/>
      <c r="D33" s="292"/>
      <c r="E33" s="292"/>
      <c r="F33" s="292"/>
      <c r="G33" s="292"/>
      <c r="H33" s="292"/>
      <c r="I33" s="292"/>
      <c r="J33" s="38"/>
    </row>
    <row r="34" spans="1:10" s="22" customFormat="1" ht="30.75" customHeight="1">
      <c r="A34" s="28"/>
      <c r="B34" s="162">
        <f>B30+1</f>
        <v>6</v>
      </c>
      <c r="C34" s="24" t="str">
        <f>ИД!A25</f>
        <v>СР-1</v>
      </c>
      <c r="D34" s="24" t="str">
        <f>CONCATENATE(ИД!B25," ","(",ИД!E25,"/",1.2,"/",ИД!B15,")")</f>
        <v>Стоимость размещения отходов на полигоне ТБО (3674,86/1,2/14,17)</v>
      </c>
      <c r="E34" s="23"/>
      <c r="F34" s="23"/>
      <c r="G34" s="23"/>
      <c r="H34" s="23">
        <f>ССРтек!H34/ИД!B15</f>
        <v>216.12</v>
      </c>
      <c r="I34" s="36">
        <f t="shared" ref="I34:I37" si="2">SUM(E34:H34)</f>
        <v>216.12</v>
      </c>
      <c r="J34" s="38"/>
    </row>
    <row r="35" spans="1:10" s="22" customFormat="1" ht="40.5" customHeight="1">
      <c r="A35" s="28"/>
      <c r="B35" s="162">
        <f>B34+1</f>
        <v>7</v>
      </c>
      <c r="C35" s="24" t="str">
        <f>ИД!A26</f>
        <v>09-01-23-4-ООС  таб.3.1</v>
      </c>
      <c r="D35" s="24" t="str">
        <f>CONCATENATE(ИД!B26,"(",ИД!E26,"/",ИД!B15,")")</f>
        <v>Расчёт платы за негативное воздействие на окружающую среду (выбросы загрязняющих веществ в атмосферу)(0,26/14,17)</v>
      </c>
      <c r="E35" s="23"/>
      <c r="F35" s="23"/>
      <c r="G35" s="23"/>
      <c r="H35" s="23">
        <f>ИД!E26/ИД!B15</f>
        <v>0.02</v>
      </c>
      <c r="I35" s="36">
        <f>SUM(E35:H35)</f>
        <v>0.02</v>
      </c>
      <c r="J35" s="38"/>
    </row>
    <row r="36" spans="1:10" s="111" customFormat="1" ht="37.5" customHeight="1">
      <c r="A36" s="29"/>
      <c r="B36" s="162">
        <f>B35+1</f>
        <v>8</v>
      </c>
      <c r="C36" s="170" t="str">
        <f>ИД!A27</f>
        <v>09-01-23-4-ООС  таб.3.1</v>
      </c>
      <c r="D36" s="170" t="str">
        <f>CONCATENATE(ИД!B27,"
(",ИД!E27,"/",ИД!$B$15,")")</f>
        <v>Расчёт платы за негативное воздействие на окружающую среду (размещеие отходов)
(620,02/14,17)</v>
      </c>
      <c r="E36" s="171"/>
      <c r="F36" s="171"/>
      <c r="G36" s="171"/>
      <c r="H36" s="172">
        <f>ИД!E27/ИД!B15</f>
        <v>43.76</v>
      </c>
      <c r="I36" s="207">
        <f t="shared" si="2"/>
        <v>43.76</v>
      </c>
      <c r="J36" s="166"/>
    </row>
    <row r="37" spans="1:10" s="111" customFormat="1" ht="25.5" hidden="1">
      <c r="A37" s="29"/>
      <c r="B37" s="162">
        <f t="shared" ref="B37" si="3">B36+1</f>
        <v>9</v>
      </c>
      <c r="C37" s="192" t="str">
        <f>ИД!A28</f>
        <v>09-01-23-4-ООС  таб.3.1</v>
      </c>
      <c r="D37" s="192" t="str">
        <f>CONCATENATE(ИД!B28," (",ИД!E28,"/1,2/1000/",ИД!$B$15,")")</f>
        <v>Плата за технологическое присоединение к сетям АО "ДРСК" (0/1,2/1000/14,17)</v>
      </c>
      <c r="E37" s="193"/>
      <c r="F37" s="193"/>
      <c r="G37" s="193"/>
      <c r="H37" s="193"/>
      <c r="I37" s="194">
        <f t="shared" si="2"/>
        <v>0</v>
      </c>
      <c r="J37" s="166"/>
    </row>
    <row r="38" spans="1:10" s="111" customFormat="1" ht="27" customHeight="1">
      <c r="A38" s="29"/>
      <c r="B38" s="162">
        <f>B36+1</f>
        <v>9</v>
      </c>
      <c r="C38" s="164" t="str">
        <f>ИД!A29</f>
        <v>09-01-23-4-ООС  таб.3.1</v>
      </c>
      <c r="D38" s="164" t="str">
        <f>CONCATENATE(ИД!B29,"(",ИД!E29,"/",ИД!B15,")")</f>
        <v>Расчет затрат на экологический мониторинг(10,53/14,17)</v>
      </c>
      <c r="E38" s="165"/>
      <c r="F38" s="165"/>
      <c r="G38" s="165"/>
      <c r="H38" s="165">
        <f>ИД!E29/ИД!B15</f>
        <v>0.74</v>
      </c>
      <c r="I38" s="36">
        <f>SUM(E38:H38)</f>
        <v>0.74</v>
      </c>
      <c r="J38" s="166"/>
    </row>
    <row r="39" spans="1:10" s="22" customFormat="1" ht="18" customHeight="1">
      <c r="A39" s="28"/>
      <c r="B39" s="19"/>
      <c r="C39" s="20"/>
      <c r="D39" s="21" t="s">
        <v>41</v>
      </c>
      <c r="E39" s="18">
        <f>SUM(E34:E38)</f>
        <v>0</v>
      </c>
      <c r="F39" s="18">
        <f t="shared" ref="F39:I39" si="4">SUM(F34:F38)</f>
        <v>0</v>
      </c>
      <c r="G39" s="18">
        <f t="shared" si="4"/>
        <v>0</v>
      </c>
      <c r="H39" s="18">
        <f t="shared" si="4"/>
        <v>260.64</v>
      </c>
      <c r="I39" s="18">
        <f t="shared" si="4"/>
        <v>260.64</v>
      </c>
      <c r="J39" s="41" t="b">
        <f>SUM(E39:H39)=SUM(I34:I38)</f>
        <v>1</v>
      </c>
    </row>
    <row r="40" spans="1:10" s="22" customFormat="1" ht="18" customHeight="1">
      <c r="A40" s="28"/>
      <c r="B40" s="176"/>
      <c r="C40" s="17"/>
      <c r="D40" s="174" t="s">
        <v>42</v>
      </c>
      <c r="E40" s="18">
        <f>E32+E39</f>
        <v>2115.19</v>
      </c>
      <c r="F40" s="18">
        <f>F32+F39</f>
        <v>24.63</v>
      </c>
      <c r="G40" s="18">
        <f>G32+G39</f>
        <v>0</v>
      </c>
      <c r="H40" s="18">
        <f>H32+H39</f>
        <v>267.8</v>
      </c>
      <c r="I40" s="18">
        <f>I32+I39</f>
        <v>2407.62</v>
      </c>
      <c r="J40" s="41" t="b">
        <f>SUM(E40:H40)=I32+I39</f>
        <v>1</v>
      </c>
    </row>
    <row r="41" spans="1:10" s="22" customFormat="1" ht="18" customHeight="1">
      <c r="A41" s="28"/>
      <c r="B41" s="291" t="s">
        <v>54</v>
      </c>
      <c r="C41" s="292"/>
      <c r="D41" s="292"/>
      <c r="E41" s="292"/>
      <c r="F41" s="292"/>
      <c r="G41" s="292"/>
      <c r="H41" s="292"/>
      <c r="I41" s="292"/>
      <c r="J41" s="38"/>
    </row>
    <row r="42" spans="1:10" s="22" customFormat="1" ht="45.75" customHeight="1">
      <c r="A42" s="105">
        <f>ИД!D30%</f>
        <v>2.1399999999999999E-2</v>
      </c>
      <c r="B42" s="51">
        <f>B38+1</f>
        <v>10</v>
      </c>
      <c r="C42" s="106" t="str">
        <f>ИД!A30</f>
        <v>Постановление Правительства РФ от 21.06.2010г. №468</v>
      </c>
      <c r="D42" s="40" t="str">
        <f>CONCATENATE(ИД!B30," ","-"," ",ИД!D30,ИД!E30," ","от"," ",ССРбаз!I40)</f>
        <v>Строительный контроль - 2,14% от 2407,62</v>
      </c>
      <c r="E42" s="18"/>
      <c r="F42" s="18"/>
      <c r="G42" s="18"/>
      <c r="H42" s="37">
        <f>I40*$A$42</f>
        <v>51.52</v>
      </c>
      <c r="I42" s="37">
        <f>SUM(E42:H42)</f>
        <v>51.52</v>
      </c>
      <c r="J42" s="38"/>
    </row>
    <row r="43" spans="1:10" s="22" customFormat="1" ht="18" customHeight="1">
      <c r="A43" s="28"/>
      <c r="B43" s="176"/>
      <c r="C43" s="17"/>
      <c r="D43" s="21" t="s">
        <v>56</v>
      </c>
      <c r="E43" s="18"/>
      <c r="F43" s="18"/>
      <c r="G43" s="18"/>
      <c r="H43" s="18">
        <f>SUM(H42:H42)</f>
        <v>51.52</v>
      </c>
      <c r="I43" s="18">
        <f>SUM(I42:I42)</f>
        <v>51.52</v>
      </c>
      <c r="J43" s="38"/>
    </row>
    <row r="44" spans="1:10" s="183" customFormat="1" ht="56.1" customHeight="1">
      <c r="A44" s="181"/>
      <c r="B44" s="291" t="s">
        <v>76</v>
      </c>
      <c r="C44" s="292"/>
      <c r="D44" s="292"/>
      <c r="E44" s="292"/>
      <c r="F44" s="292"/>
      <c r="G44" s="292"/>
      <c r="H44" s="292"/>
      <c r="I44" s="292"/>
      <c r="J44" s="182"/>
    </row>
    <row r="45" spans="1:10" s="183" customFormat="1" ht="56.25" customHeight="1">
      <c r="A45" s="105">
        <v>2E-3</v>
      </c>
      <c r="B45" s="51">
        <f>B42+1</f>
        <v>11</v>
      </c>
      <c r="C45" s="179" t="str">
        <f>ИД!A31</f>
        <v>Методика утв. Приказом Минстрой РФ от 04.08.2020г. №421/пр п.173</v>
      </c>
      <c r="D45" s="40" t="str">
        <f>CONCATENATE(ИД!$B$31," - ",ИД!$D$31,ИД!$E$31," от ",I40,"
")</f>
        <v xml:space="preserve">Авторский надзор  - 0,2% от 2407,62
</v>
      </c>
      <c r="E45" s="27"/>
      <c r="F45" s="27"/>
      <c r="G45" s="27"/>
      <c r="H45" s="37">
        <f>I40*$A$45</f>
        <v>4.82</v>
      </c>
      <c r="I45" s="36">
        <f>SUM(E45:H45)</f>
        <v>4.82</v>
      </c>
      <c r="J45" s="182"/>
    </row>
    <row r="46" spans="1:10" s="183" customFormat="1" ht="58.5" customHeight="1">
      <c r="A46" s="181"/>
      <c r="B46" s="212">
        <f>B45+1</f>
        <v>12</v>
      </c>
      <c r="C46" s="213" t="str">
        <f>ИД!A32</f>
        <v xml:space="preserve"> Смета №1-4</v>
      </c>
      <c r="D46" s="214" t="str">
        <f>CONCATENATE(ИД!B32," ","(",ИД!D32,"/",ИД!E17,")")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 (186,25/1,266)</v>
      </c>
      <c r="E46" s="215"/>
      <c r="F46" s="215"/>
      <c r="G46" s="215"/>
      <c r="H46" s="216">
        <f>ИД!D32/ИД!E17</f>
        <v>147.12</v>
      </c>
      <c r="I46" s="207">
        <f t="shared" ref="I46:I49" si="5">SUM(E46:H46)</f>
        <v>147.12</v>
      </c>
      <c r="J46" s="182"/>
    </row>
    <row r="47" spans="1:10" s="183" customFormat="1" ht="66.75" customHeight="1">
      <c r="A47" s="181"/>
      <c r="B47" s="212">
        <f>B46+1</f>
        <v>13</v>
      </c>
      <c r="C47" s="213" t="str">
        <f>ИД!A33</f>
        <v>Смета №5</v>
      </c>
      <c r="D47" s="214" t="str">
        <f>CONCATENATE(ИД!B33,"(",ИД!D33,"/",ИД!E18,")")</f>
        <v>Разработка проектной документации(108,16/1,19)</v>
      </c>
      <c r="E47" s="215"/>
      <c r="F47" s="215"/>
      <c r="G47" s="215"/>
      <c r="H47" s="216">
        <f>ИД!D33/ИД!E18</f>
        <v>90.89</v>
      </c>
      <c r="I47" s="207">
        <f t="shared" si="5"/>
        <v>90.89</v>
      </c>
      <c r="J47" s="182"/>
    </row>
    <row r="48" spans="1:10" s="183" customFormat="1" ht="63" customHeight="1">
      <c r="A48" s="181"/>
      <c r="B48" s="212">
        <f>B47+1</f>
        <v>14</v>
      </c>
      <c r="C48" s="213" t="str">
        <f>ИД!A34</f>
        <v>Смета №6</v>
      </c>
      <c r="D48" s="214" t="str">
        <f>CONCATENATE(ИД!B34,"(",ИД!D34,"/",ИД!E18,")")</f>
        <v>Разработка рабочей документации(162,23/1,19)</v>
      </c>
      <c r="E48" s="215"/>
      <c r="F48" s="215"/>
      <c r="G48" s="215"/>
      <c r="H48" s="216">
        <f>ИД!D34/ИД!E18</f>
        <v>136.33000000000001</v>
      </c>
      <c r="I48" s="207">
        <f t="shared" si="5"/>
        <v>136.33000000000001</v>
      </c>
      <c r="J48" s="182"/>
    </row>
    <row r="49" spans="1:10" s="183" customFormat="1" ht="42.75" customHeight="1">
      <c r="A49" s="181"/>
      <c r="B49" s="212">
        <f>B48+1</f>
        <v>15</v>
      </c>
      <c r="C49" s="213" t="str">
        <f>ИД!A35</f>
        <v>Постановление Правительства РФ №145от 05.03.2007г.</v>
      </c>
      <c r="D49" s="214" t="str">
        <f>CONCATENATE(ИД!B35,"(",ИД!D32,"/",ИД!E17,"+",ИД!D33,"/",ИД!E18,")","*",0.273)</f>
        <v>Проведение государственной экспертизы по объекту(186,25/1,266+108,16/1,19)*0,273</v>
      </c>
      <c r="E49" s="215"/>
      <c r="F49" s="215"/>
      <c r="G49" s="215"/>
      <c r="H49" s="216">
        <f>(ИД!D32/ИД!E17+ИД!D33/ИД!E18)*0.273</f>
        <v>64.98</v>
      </c>
      <c r="I49" s="207">
        <f t="shared" si="5"/>
        <v>64.98</v>
      </c>
      <c r="J49" s="182"/>
    </row>
    <row r="50" spans="1:10" s="22" customFormat="1" ht="18" customHeight="1">
      <c r="A50" s="28"/>
      <c r="B50" s="176"/>
      <c r="C50" s="17"/>
      <c r="D50" s="21" t="s">
        <v>43</v>
      </c>
      <c r="E50" s="18">
        <f>SUM(E45:E49)</f>
        <v>0</v>
      </c>
      <c r="F50" s="18">
        <f>SUM(F45:F49)</f>
        <v>0</v>
      </c>
      <c r="G50" s="18">
        <f>SUM(G45:G49)</f>
        <v>0</v>
      </c>
      <c r="H50" s="18">
        <f>SUM(H45:H49)</f>
        <v>444.14</v>
      </c>
      <c r="I50" s="18">
        <f>SUM(I45:I49)</f>
        <v>444.14</v>
      </c>
      <c r="J50" s="41" t="b">
        <f>SUM(E50:H50)=SUM(I45:I49)</f>
        <v>1</v>
      </c>
    </row>
    <row r="51" spans="1:10" s="22" customFormat="1" ht="18" customHeight="1">
      <c r="A51" s="28"/>
      <c r="B51" s="176"/>
      <c r="C51" s="17"/>
      <c r="D51" s="174" t="s">
        <v>44</v>
      </c>
      <c r="E51" s="18">
        <f>E40+E43+E50</f>
        <v>2115.19</v>
      </c>
      <c r="F51" s="18">
        <f>F40+F43+F50</f>
        <v>24.63</v>
      </c>
      <c r="G51" s="18">
        <f>G40+G43+G50</f>
        <v>0</v>
      </c>
      <c r="H51" s="18">
        <f>H40+H43+H50</f>
        <v>763.46</v>
      </c>
      <c r="I51" s="18">
        <f>I40+I43+I50</f>
        <v>2903.28</v>
      </c>
      <c r="J51" s="41" t="b">
        <f>SUM(E51:H51)=I40+I43+I50</f>
        <v>1</v>
      </c>
    </row>
    <row r="52" spans="1:10" s="22" customFormat="1" ht="15" customHeight="1">
      <c r="A52" s="28"/>
      <c r="B52" s="291" t="s">
        <v>45</v>
      </c>
      <c r="C52" s="292"/>
      <c r="D52" s="292"/>
      <c r="E52" s="292"/>
      <c r="F52" s="292"/>
      <c r="G52" s="292"/>
      <c r="H52" s="292"/>
      <c r="I52" s="292"/>
      <c r="J52" s="38"/>
    </row>
    <row r="53" spans="1:10" s="22" customFormat="1" ht="51">
      <c r="A53" s="30">
        <v>0.03</v>
      </c>
      <c r="B53" s="39">
        <f>B49+1</f>
        <v>16</v>
      </c>
      <c r="C53" s="24" t="str">
        <f>ИД!A36</f>
        <v>Методика утв. Приказом Минстрой РФ от 04.08.2020г. №421/пр п.179</v>
      </c>
      <c r="D53" s="175" t="s">
        <v>57</v>
      </c>
      <c r="E53" s="23">
        <f>E51*$A$53</f>
        <v>63.46</v>
      </c>
      <c r="F53" s="23">
        <f t="shared" ref="F53:H53" si="6">F51*$A$53</f>
        <v>0.74</v>
      </c>
      <c r="G53" s="23">
        <f t="shared" si="6"/>
        <v>0</v>
      </c>
      <c r="H53" s="23">
        <f t="shared" si="6"/>
        <v>22.9</v>
      </c>
      <c r="I53" s="23">
        <f>SUM(E53:H53)</f>
        <v>87.1</v>
      </c>
    </row>
    <row r="54" spans="1:10" s="22" customFormat="1" ht="26.25" customHeight="1">
      <c r="A54" s="28"/>
      <c r="B54" s="34"/>
      <c r="C54" s="34"/>
      <c r="D54" s="174" t="s">
        <v>46</v>
      </c>
      <c r="E54" s="18">
        <f>E51+E53</f>
        <v>2178.65</v>
      </c>
      <c r="F54" s="18">
        <f>F51+F53</f>
        <v>25.37</v>
      </c>
      <c r="G54" s="18">
        <f>G51+G53</f>
        <v>0</v>
      </c>
      <c r="H54" s="18">
        <f>H51+H53</f>
        <v>786.36</v>
      </c>
      <c r="I54" s="18">
        <f>I51+I53</f>
        <v>2990.38</v>
      </c>
      <c r="J54" s="41" t="b">
        <f>SUM(E54:H54)=I51+I53</f>
        <v>1</v>
      </c>
    </row>
    <row r="55" spans="1:10" s="198" customFormat="1" ht="18" customHeight="1">
      <c r="B55" s="199"/>
      <c r="C55" s="199"/>
      <c r="D55" s="200" t="s">
        <v>105</v>
      </c>
      <c r="E55" s="199"/>
      <c r="F55" s="199"/>
      <c r="G55" s="199"/>
      <c r="H55" s="199"/>
      <c r="I55" s="201">
        <f>ИД!D39</f>
        <v>47.95</v>
      </c>
      <c r="J55" s="202"/>
    </row>
    <row r="56" spans="1:10">
      <c r="B56" s="249"/>
      <c r="C56" s="249"/>
      <c r="D56" s="250" t="s">
        <v>142</v>
      </c>
      <c r="E56" s="251"/>
      <c r="F56" s="251"/>
      <c r="G56" s="251"/>
      <c r="H56" s="251"/>
      <c r="I56" s="252">
        <f>H46+H47+H48</f>
        <v>374.34</v>
      </c>
    </row>
    <row r="57" spans="1:10" s="22" customFormat="1" ht="12.75">
      <c r="J57" s="38"/>
    </row>
    <row r="59" spans="1:10">
      <c r="C59" s="43" t="str">
        <f>CONCATENATE(ИД!$A$6,ИД!$B$5)</f>
        <v>Генеральный директор  ООО "ИВЦ "Энергоактив""</v>
      </c>
      <c r="D59" s="1"/>
      <c r="E59" s="293"/>
      <c r="F59" s="293"/>
      <c r="G59" s="293"/>
      <c r="H59" s="57" t="str">
        <f>ИД!$B$6</f>
        <v>С.В. Лопашук</v>
      </c>
      <c r="I59" s="1"/>
    </row>
    <row r="60" spans="1:10">
      <c r="C60" s="3"/>
      <c r="D60" s="57"/>
      <c r="E60" s="9"/>
      <c r="F60" s="9"/>
      <c r="G60" s="9"/>
      <c r="H60" s="57"/>
      <c r="I60" s="9"/>
    </row>
    <row r="61" spans="1:10">
      <c r="C61" s="3"/>
      <c r="D61" s="57"/>
      <c r="E61" s="9"/>
      <c r="F61" s="9"/>
      <c r="G61" s="9"/>
      <c r="H61" s="57"/>
      <c r="I61" s="9"/>
    </row>
    <row r="62" spans="1:10">
      <c r="C62" s="43" t="str">
        <f>ССРтек!C65</f>
        <v>Главный инженер проекта ООО "ИВЦ "Энергоактив""</v>
      </c>
      <c r="D62" s="1"/>
      <c r="E62" s="293"/>
      <c r="F62" s="293"/>
      <c r="G62" s="293"/>
      <c r="H62" s="111" t="str">
        <f>ИД!B7</f>
        <v>Н.В.Петров</v>
      </c>
      <c r="I62" s="1"/>
    </row>
    <row r="63" spans="1:10">
      <c r="C63" s="3"/>
      <c r="D63" s="57"/>
      <c r="E63" s="9"/>
      <c r="F63" s="9"/>
      <c r="G63" s="9"/>
      <c r="H63" s="57"/>
      <c r="I63" s="9"/>
    </row>
    <row r="64" spans="1:10">
      <c r="C64" s="3"/>
      <c r="D64" s="57"/>
      <c r="E64" s="9"/>
      <c r="F64" s="9"/>
      <c r="G64" s="9"/>
      <c r="H64" s="57"/>
      <c r="I64" s="9"/>
    </row>
    <row r="65" spans="3:9">
      <c r="C65" s="3" t="s">
        <v>50</v>
      </c>
      <c r="D65" s="57"/>
      <c r="E65" s="238"/>
      <c r="F65" s="238"/>
      <c r="G65" s="238"/>
      <c r="H65" s="57"/>
      <c r="I65" s="9"/>
    </row>
    <row r="66" spans="3:9" ht="18.75" customHeight="1">
      <c r="C66" s="294"/>
      <c r="D66" s="294"/>
      <c r="E66" s="290"/>
      <c r="F66" s="290"/>
      <c r="G66" s="290"/>
      <c r="H66" s="61"/>
      <c r="I66" s="9"/>
    </row>
  </sheetData>
  <mergeCells count="24">
    <mergeCell ref="D12:H12"/>
    <mergeCell ref="D2:H2"/>
    <mergeCell ref="D3:H3"/>
    <mergeCell ref="D7:H7"/>
    <mergeCell ref="D8:H8"/>
    <mergeCell ref="D10:H10"/>
    <mergeCell ref="D13:H13"/>
    <mergeCell ref="B14:I14"/>
    <mergeCell ref="B15:B16"/>
    <mergeCell ref="C15:C16"/>
    <mergeCell ref="D15:D16"/>
    <mergeCell ref="E15:I15"/>
    <mergeCell ref="B29:I29"/>
    <mergeCell ref="B33:I33"/>
    <mergeCell ref="B52:I52"/>
    <mergeCell ref="B18:I18"/>
    <mergeCell ref="B22:I22"/>
    <mergeCell ref="B41:I41"/>
    <mergeCell ref="B25:I25"/>
    <mergeCell ref="E66:G66"/>
    <mergeCell ref="B44:I44"/>
    <mergeCell ref="E59:G59"/>
    <mergeCell ref="E62:G62"/>
    <mergeCell ref="C66:D66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Normal="100" zoomScaleSheetLayoutView="100" workbookViewId="0">
      <selection activeCell="E22" sqref="E22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 ht="27.75" customHeight="1">
      <c r="B1" s="308" t="str">
        <f>CONCATENATE(ИД!$B$10,ИД!$C$11)</f>
        <v>«Реконструкция распределительных и квартальных тепловых сетей г. Благовещенска Амурской области» Объект 7: Тепловые сети по ул. Пушкина от ТК-317 до ТК-320, L=222,53 м, D = 426 мм.</v>
      </c>
      <c r="C1" s="308"/>
      <c r="D1" s="308"/>
      <c r="E1" s="308"/>
      <c r="F1" s="308"/>
      <c r="G1" s="308"/>
      <c r="H1" s="308"/>
      <c r="I1" s="308"/>
    </row>
    <row r="2" spans="1:9">
      <c r="B2" s="309" t="s">
        <v>12</v>
      </c>
      <c r="C2" s="309"/>
      <c r="D2" s="309"/>
      <c r="E2" s="309"/>
      <c r="F2" s="309"/>
      <c r="G2" s="309"/>
      <c r="H2" s="309"/>
      <c r="I2" s="309"/>
    </row>
    <row r="4" spans="1:9" ht="15.75">
      <c r="B4" s="310" t="s">
        <v>152</v>
      </c>
      <c r="C4" s="310"/>
      <c r="D4" s="310"/>
      <c r="E4" s="310"/>
      <c r="F4" s="310"/>
      <c r="G4" s="310"/>
      <c r="H4" s="310"/>
      <c r="I4" s="310"/>
    </row>
    <row r="5" spans="1:9" ht="15.75">
      <c r="B5" s="310" t="s">
        <v>146</v>
      </c>
      <c r="C5" s="310"/>
      <c r="D5" s="310"/>
      <c r="E5" s="310"/>
      <c r="F5" s="310"/>
      <c r="G5" s="310"/>
      <c r="H5" s="310"/>
      <c r="I5" s="310"/>
    </row>
    <row r="6" spans="1:9" ht="15.75">
      <c r="B6" s="159"/>
      <c r="C6" s="159"/>
      <c r="D6" s="159"/>
      <c r="E6" s="159"/>
      <c r="F6" s="159"/>
      <c r="G6" s="159"/>
      <c r="H6" s="159"/>
      <c r="I6" s="159"/>
    </row>
    <row r="7" spans="1:9" s="62" customFormat="1" ht="13.5">
      <c r="A7" s="110"/>
      <c r="B7" s="63"/>
      <c r="C7" s="63"/>
      <c r="D7" s="311" t="s">
        <v>62</v>
      </c>
      <c r="E7" s="311"/>
      <c r="F7" s="311"/>
      <c r="G7" s="311"/>
      <c r="H7" s="311"/>
      <c r="I7" s="63"/>
    </row>
    <row r="8" spans="1:9" s="62" customFormat="1" ht="13.5">
      <c r="A8" s="110"/>
      <c r="B8" s="64"/>
      <c r="C8" s="64"/>
      <c r="D8" s="65"/>
      <c r="E8" s="64"/>
      <c r="F8" s="64"/>
      <c r="G8" s="64"/>
      <c r="H8" s="64"/>
      <c r="I8" s="64"/>
    </row>
    <row r="9" spans="1:9" s="62" customFormat="1" ht="15" customHeight="1">
      <c r="A9" s="110"/>
      <c r="B9" s="64"/>
      <c r="C9" s="63"/>
      <c r="D9" s="307" t="s">
        <v>63</v>
      </c>
      <c r="E9" s="307"/>
      <c r="F9" s="307"/>
      <c r="G9" s="307"/>
      <c r="H9" s="66">
        <f>I25</f>
        <v>18.350000000000001</v>
      </c>
      <c r="I9" s="67" t="s">
        <v>28</v>
      </c>
    </row>
    <row r="10" spans="1:9" s="62" customFormat="1" ht="32.1" customHeight="1">
      <c r="A10" s="110"/>
      <c r="B10" s="64"/>
      <c r="C10" s="63"/>
      <c r="D10" s="305" t="s">
        <v>64</v>
      </c>
      <c r="E10" s="305"/>
      <c r="F10" s="305"/>
      <c r="G10" s="305"/>
      <c r="H10" s="236">
        <f>'ОС-01-01тек'!H10</f>
        <v>0.21199999999999999</v>
      </c>
      <c r="I10" s="90" t="str">
        <f>'ОС-01-01тек'!I10</f>
        <v>км</v>
      </c>
    </row>
    <row r="11" spans="1:9" s="62" customFormat="1" ht="32.1" customHeight="1">
      <c r="A11" s="110"/>
      <c r="B11" s="64"/>
      <c r="C11" s="63"/>
      <c r="D11" s="305" t="s">
        <v>65</v>
      </c>
      <c r="E11" s="305"/>
      <c r="F11" s="305"/>
      <c r="G11" s="305"/>
      <c r="H11" s="68">
        <f>H9/H10*1000</f>
        <v>86556.6</v>
      </c>
      <c r="I11" s="160" t="s">
        <v>66</v>
      </c>
    </row>
    <row r="12" spans="1:9" s="69" customFormat="1" ht="13.5">
      <c r="A12" s="111"/>
      <c r="B12" s="70"/>
      <c r="C12" s="70"/>
      <c r="D12" s="70"/>
      <c r="E12" s="70"/>
      <c r="F12" s="70"/>
      <c r="G12" s="71"/>
      <c r="H12" s="70"/>
      <c r="I12" s="70"/>
    </row>
    <row r="13" spans="1:9" s="69" customFormat="1" ht="13.5">
      <c r="A13" s="111"/>
      <c r="C13" s="71"/>
      <c r="D13" s="72" t="s">
        <v>27</v>
      </c>
      <c r="E13" s="72"/>
      <c r="F13" s="72"/>
      <c r="G13" s="72"/>
      <c r="H13" s="72"/>
      <c r="I13" s="72"/>
    </row>
    <row r="14" spans="1:9" ht="15.75">
      <c r="B14" s="159"/>
      <c r="C14" s="159"/>
      <c r="D14" s="58"/>
      <c r="E14" s="58"/>
      <c r="F14" s="58"/>
      <c r="G14" s="35"/>
      <c r="H14" s="33"/>
      <c r="I14" s="159"/>
    </row>
    <row r="15" spans="1:9" ht="15" customHeight="1">
      <c r="B15" s="306" t="s">
        <v>16</v>
      </c>
      <c r="C15" s="306" t="s">
        <v>67</v>
      </c>
      <c r="D15" s="306" t="s">
        <v>68</v>
      </c>
      <c r="E15" s="306" t="s">
        <v>17</v>
      </c>
      <c r="F15" s="306"/>
      <c r="G15" s="306"/>
      <c r="H15" s="306"/>
      <c r="I15" s="306"/>
    </row>
    <row r="16" spans="1:9" ht="85.5" customHeight="1">
      <c r="B16" s="306"/>
      <c r="C16" s="306"/>
      <c r="D16" s="306"/>
      <c r="E16" s="73" t="s">
        <v>69</v>
      </c>
      <c r="F16" s="161" t="s">
        <v>15</v>
      </c>
      <c r="G16" s="161" t="s">
        <v>70</v>
      </c>
      <c r="H16" s="161" t="s">
        <v>71</v>
      </c>
      <c r="I16" s="161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69" customFormat="1" ht="39" customHeight="1">
      <c r="A18" s="111"/>
      <c r="B18" s="74">
        <v>1</v>
      </c>
      <c r="C18" s="74" t="s">
        <v>143</v>
      </c>
      <c r="D18" s="78" t="s">
        <v>144</v>
      </c>
      <c r="E18" s="89">
        <v>0.76</v>
      </c>
      <c r="F18" s="89"/>
      <c r="G18" s="89"/>
      <c r="H18" s="89"/>
      <c r="I18" s="89">
        <f>SUM(E18:H18)</f>
        <v>0.76</v>
      </c>
    </row>
    <row r="19" spans="1:9" s="69" customFormat="1" ht="29.25" customHeight="1">
      <c r="A19" s="111"/>
      <c r="B19" s="74">
        <f>B18+1</f>
        <v>2</v>
      </c>
      <c r="C19" s="74" t="s">
        <v>153</v>
      </c>
      <c r="D19" s="78" t="s">
        <v>145</v>
      </c>
      <c r="E19" s="89">
        <v>14.84</v>
      </c>
      <c r="F19" s="89"/>
      <c r="G19" s="89"/>
      <c r="H19" s="89"/>
      <c r="I19" s="89">
        <f t="shared" ref="I19:I20" si="0">SUM(E19:H19)</f>
        <v>14.84</v>
      </c>
    </row>
    <row r="20" spans="1:9" s="69" customFormat="1" ht="29.25" customHeight="1">
      <c r="A20" s="111"/>
      <c r="B20" s="74">
        <f>B19+1</f>
        <v>3</v>
      </c>
      <c r="C20" s="74" t="s">
        <v>155</v>
      </c>
      <c r="D20" s="78" t="s">
        <v>156</v>
      </c>
      <c r="E20" s="89">
        <v>1.88</v>
      </c>
      <c r="F20" s="89"/>
      <c r="G20" s="89"/>
      <c r="H20" s="89"/>
      <c r="I20" s="89">
        <f t="shared" si="0"/>
        <v>1.88</v>
      </c>
    </row>
    <row r="21" spans="1:9" s="116" customFormat="1" ht="20.100000000000001" customHeight="1">
      <c r="A21" s="112"/>
      <c r="B21" s="113"/>
      <c r="C21" s="113"/>
      <c r="D21" s="114" t="s">
        <v>60</v>
      </c>
      <c r="E21" s="115">
        <f>SUM(E18:E20)</f>
        <v>17.48</v>
      </c>
      <c r="F21" s="115"/>
      <c r="G21" s="115"/>
      <c r="H21" s="115"/>
      <c r="I21" s="115">
        <f t="shared" ref="I21" si="1">SUM(I18:I20)</f>
        <v>17.48</v>
      </c>
    </row>
    <row r="22" spans="1:9" s="76" customFormat="1" ht="95.25" customHeight="1">
      <c r="A22" s="31">
        <f>'ОС-01-01тек'!A22</f>
        <v>1.9199999999999998E-2</v>
      </c>
      <c r="B22" s="79">
        <f>B20+1</f>
        <v>4</v>
      </c>
      <c r="C22" s="81" t="str">
        <f>ИД!A24</f>
        <v>Методика утв. Приказом Минстрой РФ от 19.06.20г. №332/пр, Приложение 1, п.53</v>
      </c>
      <c r="D22" s="85" t="str">
        <f>'ОС-01-01тек'!D22</f>
        <v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</v>
      </c>
      <c r="E22" s="83">
        <f>E21*A22</f>
        <v>0.34</v>
      </c>
      <c r="F22" s="83"/>
      <c r="G22" s="83"/>
      <c r="H22" s="84"/>
      <c r="I22" s="83">
        <f>SUM(E22:H22)</f>
        <v>0.34</v>
      </c>
    </row>
    <row r="23" spans="1:9" s="76" customFormat="1" ht="18" customHeight="1">
      <c r="A23" s="22"/>
      <c r="B23" s="77"/>
      <c r="C23" s="77"/>
      <c r="D23" s="80" t="s">
        <v>60</v>
      </c>
      <c r="E23" s="84">
        <f>SUM(E21:E22)</f>
        <v>17.82</v>
      </c>
      <c r="F23" s="84"/>
      <c r="G23" s="84"/>
      <c r="H23" s="84"/>
      <c r="I23" s="84">
        <f t="shared" ref="I23" si="2">SUM(I21:I22)</f>
        <v>17.82</v>
      </c>
    </row>
    <row r="24" spans="1:9" s="76" customFormat="1" ht="67.5">
      <c r="A24" s="125">
        <f>ИД!$E$36</f>
        <v>0.03</v>
      </c>
      <c r="B24" s="79">
        <f>B22+1</f>
        <v>5</v>
      </c>
      <c r="C24" s="81" t="str">
        <f>ИД!$A$36</f>
        <v>Методика утв. Приказом Минстрой РФ от 04.08.2020г. №421/пр п.179</v>
      </c>
      <c r="D24" s="82" t="str">
        <f>CONCATENATE(ИД!$B$36," - ","3%",)</f>
        <v>Непредвиденные работы и затраты - 3%</v>
      </c>
      <c r="E24" s="83">
        <f>E23*A24</f>
        <v>0.53</v>
      </c>
      <c r="F24" s="83"/>
      <c r="G24" s="83"/>
      <c r="H24" s="83"/>
      <c r="I24" s="83">
        <f>SUM(E24:H24)</f>
        <v>0.53</v>
      </c>
    </row>
    <row r="25" spans="1:9" s="76" customFormat="1" ht="20.100000000000001" customHeight="1">
      <c r="A25" s="22"/>
      <c r="B25" s="88"/>
      <c r="C25" s="88"/>
      <c r="D25" s="88" t="s">
        <v>61</v>
      </c>
      <c r="E25" s="91">
        <f>SUM(E23:E24)</f>
        <v>18.350000000000001</v>
      </c>
      <c r="F25" s="91">
        <f t="shared" ref="F25:I25" si="3">SUM(F23:F24)</f>
        <v>0</v>
      </c>
      <c r="G25" s="91">
        <f t="shared" si="3"/>
        <v>0</v>
      </c>
      <c r="H25" s="91">
        <f t="shared" si="3"/>
        <v>0</v>
      </c>
      <c r="I25" s="91">
        <f t="shared" si="3"/>
        <v>18.350000000000001</v>
      </c>
    </row>
    <row r="26" spans="1:9" s="22" customFormat="1" ht="12.75"/>
    <row r="28" spans="1:9" s="59" customFormat="1">
      <c r="A28" s="111"/>
      <c r="D28" s="13" t="s">
        <v>30</v>
      </c>
      <c r="G28" s="59" t="str">
        <f>'ОС-01-01тек'!G29</f>
        <v>Н.В.Петров</v>
      </c>
    </row>
    <row r="29" spans="1:9" s="59" customFormat="1">
      <c r="A29" s="111"/>
      <c r="D29" s="14"/>
    </row>
    <row r="30" spans="1:9" s="59" customFormat="1">
      <c r="A30" s="111"/>
      <c r="D30" s="15" t="str">
        <f>ИД!$A$8</f>
        <v>Составил</v>
      </c>
      <c r="G30" s="59" t="str">
        <f>ИД!$B$8</f>
        <v>А.В.Исаев</v>
      </c>
    </row>
    <row r="31" spans="1:9" s="59" customFormat="1">
      <c r="A31" s="111"/>
      <c r="D31" s="15"/>
    </row>
    <row r="32" spans="1:9" s="59" customFormat="1">
      <c r="A32" s="111"/>
      <c r="D32" s="15" t="str">
        <f>ИД!$A$9</f>
        <v>Проверил</v>
      </c>
      <c r="E32" s="60"/>
      <c r="G32" s="59" t="str">
        <f>ИД!$B$9</f>
        <v>Н.В.Петров</v>
      </c>
    </row>
    <row r="33" spans="1:4" s="59" customFormat="1">
      <c r="A33" s="111"/>
      <c r="D33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ageMargins left="0.7" right="0.7" top="0.75" bottom="0.75" header="0.3" footer="0.3"/>
  <pageSetup paperSize="9" scale="6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zoomScaleNormal="100" zoomScaleSheetLayoutView="100" workbookViewId="0">
      <selection activeCell="K21" sqref="K21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308" t="str">
        <f>CONCATENATE(ИД!$B$10,ИД!$C$11)</f>
        <v>«Реконструкция распределительных и квартальных тепловых сетей г. Благовещенска Амурской области» Объект 7: Тепловые сети по ул. Пушкина от ТК-317 до ТК-320, L=222,53 м, D = 426 мм.</v>
      </c>
      <c r="C1" s="308"/>
      <c r="D1" s="308"/>
      <c r="E1" s="308"/>
      <c r="F1" s="308"/>
      <c r="G1" s="308"/>
      <c r="H1" s="308"/>
      <c r="I1" s="308"/>
    </row>
    <row r="2" spans="1:9">
      <c r="B2" s="309" t="s">
        <v>12</v>
      </c>
      <c r="C2" s="309"/>
      <c r="D2" s="309"/>
      <c r="E2" s="309"/>
      <c r="F2" s="309"/>
      <c r="G2" s="309"/>
      <c r="H2" s="309"/>
      <c r="I2" s="309"/>
    </row>
    <row r="4" spans="1:9" ht="15.75">
      <c r="B4" s="310" t="s">
        <v>85</v>
      </c>
      <c r="C4" s="310"/>
      <c r="D4" s="310"/>
      <c r="E4" s="310"/>
      <c r="F4" s="310"/>
      <c r="G4" s="310"/>
      <c r="H4" s="310"/>
      <c r="I4" s="310"/>
    </row>
    <row r="5" spans="1:9" ht="15.75">
      <c r="B5" s="310" t="s">
        <v>94</v>
      </c>
      <c r="C5" s="310"/>
      <c r="D5" s="310"/>
      <c r="E5" s="310"/>
      <c r="F5" s="310"/>
      <c r="G5" s="310"/>
      <c r="H5" s="310"/>
      <c r="I5" s="310"/>
    </row>
    <row r="6" spans="1:9" ht="15.75">
      <c r="B6" s="120"/>
      <c r="C6" s="120"/>
      <c r="D6" s="120"/>
      <c r="E6" s="120"/>
      <c r="F6" s="120"/>
      <c r="G6" s="120"/>
      <c r="H6" s="120"/>
      <c r="I6" s="120"/>
    </row>
    <row r="7" spans="1:9" s="62" customFormat="1" ht="13.5">
      <c r="A7" s="110"/>
      <c r="B7" s="63"/>
      <c r="C7" s="63"/>
      <c r="D7" s="311" t="s">
        <v>62</v>
      </c>
      <c r="E7" s="311"/>
      <c r="F7" s="311"/>
      <c r="G7" s="311"/>
      <c r="H7" s="311"/>
      <c r="I7" s="63"/>
    </row>
    <row r="8" spans="1:9" s="62" customFormat="1" ht="13.5">
      <c r="A8" s="110"/>
      <c r="B8" s="64"/>
      <c r="C8" s="64"/>
      <c r="D8" s="65"/>
      <c r="E8" s="64"/>
      <c r="F8" s="64"/>
      <c r="G8" s="64"/>
      <c r="H8" s="64"/>
      <c r="I8" s="64"/>
    </row>
    <row r="9" spans="1:9" s="62" customFormat="1" ht="15" customHeight="1">
      <c r="A9" s="110"/>
      <c r="B9" s="64"/>
      <c r="C9" s="63"/>
      <c r="D9" s="307" t="s">
        <v>63</v>
      </c>
      <c r="E9" s="307"/>
      <c r="F9" s="307"/>
      <c r="G9" s="307"/>
      <c r="H9" s="66">
        <f>I28</f>
        <v>0</v>
      </c>
      <c r="I9" s="67" t="s">
        <v>28</v>
      </c>
    </row>
    <row r="10" spans="1:9" s="62" customFormat="1" ht="32.1" customHeight="1">
      <c r="A10" s="110"/>
      <c r="B10" s="64"/>
      <c r="C10" s="63"/>
      <c r="D10" s="305" t="s">
        <v>64</v>
      </c>
      <c r="E10" s="305"/>
      <c r="F10" s="305"/>
      <c r="G10" s="305"/>
      <c r="H10" s="68" t="e">
        <f>ИД!#REF!</f>
        <v>#REF!</v>
      </c>
      <c r="I10" s="90" t="e">
        <f>ИД!#REF!</f>
        <v>#REF!</v>
      </c>
    </row>
    <row r="11" spans="1:9" s="62" customFormat="1" ht="32.1" customHeight="1">
      <c r="A11" s="110"/>
      <c r="B11" s="64"/>
      <c r="C11" s="63"/>
      <c r="D11" s="305" t="s">
        <v>65</v>
      </c>
      <c r="E11" s="305"/>
      <c r="F11" s="305"/>
      <c r="G11" s="305"/>
      <c r="H11" s="68" t="e">
        <f>H9/H10*1000</f>
        <v>#REF!</v>
      </c>
      <c r="I11" s="122" t="s">
        <v>66</v>
      </c>
    </row>
    <row r="12" spans="1:9" s="69" customFormat="1" ht="13.5">
      <c r="A12" s="111"/>
      <c r="B12" s="70"/>
      <c r="C12" s="70"/>
      <c r="D12" s="70"/>
      <c r="E12" s="70"/>
      <c r="F12" s="70"/>
      <c r="G12" s="71"/>
      <c r="H12" s="70"/>
      <c r="I12" s="70"/>
    </row>
    <row r="13" spans="1:9" s="69" customFormat="1" ht="13.5">
      <c r="A13" s="111"/>
      <c r="C13" s="71"/>
      <c r="D13" s="72" t="s">
        <v>27</v>
      </c>
      <c r="E13" s="72"/>
      <c r="F13" s="72"/>
      <c r="G13" s="72"/>
      <c r="H13" s="72"/>
      <c r="I13" s="72"/>
    </row>
    <row r="14" spans="1:9" ht="15.75">
      <c r="B14" s="120"/>
      <c r="C14" s="120"/>
      <c r="D14" s="58"/>
      <c r="E14" s="58"/>
      <c r="F14" s="58"/>
      <c r="G14" s="35"/>
      <c r="H14" s="33"/>
      <c r="I14" s="120"/>
    </row>
    <row r="15" spans="1:9" ht="15" customHeight="1">
      <c r="B15" s="306" t="s">
        <v>16</v>
      </c>
      <c r="C15" s="306" t="s">
        <v>67</v>
      </c>
      <c r="D15" s="306" t="s">
        <v>68</v>
      </c>
      <c r="E15" s="306" t="s">
        <v>17</v>
      </c>
      <c r="F15" s="306"/>
      <c r="G15" s="306"/>
      <c r="H15" s="306"/>
      <c r="I15" s="306"/>
    </row>
    <row r="16" spans="1:9" ht="85.5" customHeight="1">
      <c r="B16" s="306"/>
      <c r="C16" s="306"/>
      <c r="D16" s="306"/>
      <c r="E16" s="73" t="s">
        <v>69</v>
      </c>
      <c r="F16" s="121" t="s">
        <v>15</v>
      </c>
      <c r="G16" s="121" t="s">
        <v>70</v>
      </c>
      <c r="H16" s="121" t="s">
        <v>71</v>
      </c>
      <c r="I16" s="121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69" customFormat="1" ht="20.25" customHeight="1">
      <c r="A18" s="111"/>
      <c r="B18" s="74">
        <v>1</v>
      </c>
      <c r="C18" s="74" t="s">
        <v>86</v>
      </c>
      <c r="D18" s="75" t="s">
        <v>91</v>
      </c>
      <c r="E18" s="89">
        <v>0</v>
      </c>
      <c r="F18" s="89"/>
      <c r="G18" s="89"/>
      <c r="H18" s="89"/>
      <c r="I18" s="89">
        <f>SUM(E18:H18)</f>
        <v>0</v>
      </c>
    </row>
    <row r="19" spans="1:9" s="69" customFormat="1" ht="20.25" customHeight="1">
      <c r="A19" s="111"/>
      <c r="B19" s="74">
        <f>B18+1</f>
        <v>2</v>
      </c>
      <c r="C19" s="74" t="s">
        <v>87</v>
      </c>
      <c r="D19" s="75" t="s">
        <v>92</v>
      </c>
      <c r="E19" s="89">
        <v>0</v>
      </c>
      <c r="F19" s="89"/>
      <c r="G19" s="89"/>
      <c r="H19" s="89"/>
      <c r="I19" s="89">
        <f t="shared" ref="I19:I21" si="0">SUM(E19:H19)</f>
        <v>0</v>
      </c>
    </row>
    <row r="20" spans="1:9" s="69" customFormat="1" ht="20.25" customHeight="1">
      <c r="A20" s="111"/>
      <c r="B20" s="74">
        <f t="shared" ref="B20:B21" si="1">B19+1</f>
        <v>3</v>
      </c>
      <c r="C20" s="74" t="s">
        <v>88</v>
      </c>
      <c r="D20" s="75" t="s">
        <v>90</v>
      </c>
      <c r="E20" s="89">
        <v>0</v>
      </c>
      <c r="F20" s="89">
        <v>0</v>
      </c>
      <c r="G20" s="89"/>
      <c r="H20" s="89"/>
      <c r="I20" s="89">
        <f t="shared" si="0"/>
        <v>0</v>
      </c>
    </row>
    <row r="21" spans="1:9" s="69" customFormat="1" ht="20.25" customHeight="1">
      <c r="A21" s="111"/>
      <c r="B21" s="74">
        <f t="shared" si="1"/>
        <v>4</v>
      </c>
      <c r="C21" s="74" t="s">
        <v>89</v>
      </c>
      <c r="D21" s="75" t="s">
        <v>93</v>
      </c>
      <c r="E21" s="89">
        <v>0</v>
      </c>
      <c r="F21" s="89">
        <v>0</v>
      </c>
      <c r="G21" s="89">
        <v>0</v>
      </c>
      <c r="H21" s="89"/>
      <c r="I21" s="89">
        <f t="shared" si="0"/>
        <v>0</v>
      </c>
    </row>
    <row r="22" spans="1:9" s="116" customFormat="1" ht="15" customHeight="1">
      <c r="A22" s="112"/>
      <c r="B22" s="113"/>
      <c r="C22" s="113"/>
      <c r="D22" s="114" t="s">
        <v>60</v>
      </c>
      <c r="E22" s="115">
        <f>SUM(E18:E21)</f>
        <v>0</v>
      </c>
      <c r="F22" s="115">
        <f>SUM(F18:F21)</f>
        <v>0</v>
      </c>
      <c r="G22" s="115">
        <f>SUM(G18:G21)</f>
        <v>0</v>
      </c>
      <c r="H22" s="115">
        <f>SUM(H18:H21)</f>
        <v>0</v>
      </c>
      <c r="I22" s="115">
        <f>SUM(I18:I21)</f>
        <v>0</v>
      </c>
    </row>
    <row r="23" spans="1:9" s="76" customFormat="1" ht="81">
      <c r="A23" s="31">
        <f>ИД!$G$24%</f>
        <v>1.9199999999999998E-2</v>
      </c>
      <c r="B23" s="79">
        <f>B21+1</f>
        <v>5</v>
      </c>
      <c r="C23" s="117" t="str">
        <f>ИД!$A$24</f>
        <v>Методика утв. Приказом Минстрой РФ от 19.06.20г. №332/пр, Приложение 1, п.53</v>
      </c>
      <c r="D23" s="82" t="str">
        <f>CONCATENATE(ИД!$B$24," - ",ИД!$D$24,ИД!$E$24,"х",ИД!$F$24,"=",ИД!$G$24,ИД!$E$24)</f>
        <v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 - 2,4%х0,8=1,92%</v>
      </c>
      <c r="E23" s="83">
        <f>E22*$A$23</f>
        <v>0</v>
      </c>
      <c r="F23" s="83">
        <f>F22*A23</f>
        <v>0</v>
      </c>
      <c r="G23" s="83"/>
      <c r="H23" s="84"/>
      <c r="I23" s="83">
        <f>SUM(E23:H23)</f>
        <v>0</v>
      </c>
    </row>
    <row r="24" spans="1:9" s="76" customFormat="1" ht="18" customHeight="1">
      <c r="A24" s="22"/>
      <c r="B24" s="77"/>
      <c r="C24" s="77"/>
      <c r="D24" s="80" t="s">
        <v>60</v>
      </c>
      <c r="E24" s="84">
        <f>SUM(E22:E23)</f>
        <v>0</v>
      </c>
      <c r="F24" s="84">
        <f t="shared" ref="F24:I24" si="2">SUM(F22:F23)</f>
        <v>0</v>
      </c>
      <c r="G24" s="84">
        <f t="shared" si="2"/>
        <v>0</v>
      </c>
      <c r="H24" s="84">
        <f t="shared" si="2"/>
        <v>0</v>
      </c>
      <c r="I24" s="84">
        <f t="shared" si="2"/>
        <v>0</v>
      </c>
    </row>
    <row r="25" spans="1:9" s="76" customFormat="1" ht="13.5">
      <c r="A25" s="157">
        <v>0.1125</v>
      </c>
      <c r="B25" s="79">
        <f>B23+1</f>
        <v>6</v>
      </c>
      <c r="C25" s="81" t="e">
        <f>ИД!#REF!</f>
        <v>#REF!</v>
      </c>
      <c r="D25" s="85" t="e">
        <f>CONCATENATE(ИД!#REF!," - ",ИД!#REF!,ИД!#REF!,"*",0.9,"=",11.25,"%")</f>
        <v>#REF!</v>
      </c>
      <c r="E25" s="83">
        <f>E24*A25</f>
        <v>0</v>
      </c>
      <c r="F25" s="126">
        <f>F24*A25</f>
        <v>0</v>
      </c>
      <c r="G25" s="77"/>
      <c r="H25" s="77"/>
      <c r="I25" s="83">
        <f>SUM(E25:H25)</f>
        <v>0</v>
      </c>
    </row>
    <row r="26" spans="1:9" s="76" customFormat="1" ht="18" customHeight="1">
      <c r="A26" s="28"/>
      <c r="B26" s="79"/>
      <c r="C26" s="86"/>
      <c r="D26" s="80" t="s">
        <v>60</v>
      </c>
      <c r="E26" s="84">
        <f>SUM(E24:E25)</f>
        <v>0</v>
      </c>
      <c r="F26" s="84">
        <f>SUM(F24:F25)</f>
        <v>0</v>
      </c>
      <c r="G26" s="84">
        <f>SUM(G24:G25)</f>
        <v>0</v>
      </c>
      <c r="H26" s="84">
        <f>SUM(H24:H25)</f>
        <v>0</v>
      </c>
      <c r="I26" s="84">
        <f>SUM(I24:I25)</f>
        <v>0</v>
      </c>
    </row>
    <row r="27" spans="1:9" s="76" customFormat="1" ht="60">
      <c r="A27" s="31">
        <f>ИД!$E$36</f>
        <v>0.03</v>
      </c>
      <c r="B27" s="79">
        <f>B25+1</f>
        <v>7</v>
      </c>
      <c r="C27" s="117" t="str">
        <f>ИД!$A$36</f>
        <v>Методика утв. Приказом Минстрой РФ от 04.08.2020г. №421/пр п.179</v>
      </c>
      <c r="D27" s="82" t="str">
        <f>CONCATENATE(ИД!$B$36," - ","1,5%",)</f>
        <v>Непредвиденные работы и затраты - 1,5%</v>
      </c>
      <c r="E27" s="83">
        <f>E26*$A$27</f>
        <v>0</v>
      </c>
      <c r="F27" s="83">
        <f t="shared" ref="F27:H27" si="3">F26*$A$27</f>
        <v>0</v>
      </c>
      <c r="G27" s="83">
        <f>G26*$A$27</f>
        <v>0</v>
      </c>
      <c r="H27" s="83">
        <f t="shared" si="3"/>
        <v>0</v>
      </c>
      <c r="I27" s="83">
        <f>SUM(E27:H27)</f>
        <v>0</v>
      </c>
    </row>
    <row r="28" spans="1:9" s="76" customFormat="1" ht="20.100000000000001" customHeight="1">
      <c r="A28" s="22"/>
      <c r="B28" s="88"/>
      <c r="C28" s="88"/>
      <c r="D28" s="88" t="s">
        <v>61</v>
      </c>
      <c r="E28" s="91">
        <f>SUM(E26:E27)</f>
        <v>0</v>
      </c>
      <c r="F28" s="91">
        <f t="shared" ref="F28:I28" si="4">SUM(F26:F27)</f>
        <v>0</v>
      </c>
      <c r="G28" s="91">
        <f t="shared" si="4"/>
        <v>0</v>
      </c>
      <c r="H28" s="91">
        <f t="shared" si="4"/>
        <v>0</v>
      </c>
      <c r="I28" s="91">
        <f t="shared" si="4"/>
        <v>0</v>
      </c>
    </row>
    <row r="29" spans="1:9" s="22" customFormat="1" ht="12.75"/>
    <row r="31" spans="1:9" s="59" customFormat="1">
      <c r="A31" s="111"/>
      <c r="D31" s="13" t="s">
        <v>30</v>
      </c>
      <c r="G31" s="59" t="str">
        <f>ИД!$B$7</f>
        <v>Н.В.Петров</v>
      </c>
    </row>
    <row r="32" spans="1:9" s="59" customFormat="1">
      <c r="A32" s="111"/>
      <c r="D32" s="14"/>
    </row>
    <row r="33" spans="1:7" s="59" customFormat="1">
      <c r="A33" s="111"/>
      <c r="D33" s="59" t="e">
        <f>ИД!#REF!</f>
        <v>#REF!</v>
      </c>
      <c r="G33" s="59" t="e">
        <f>ИД!#REF!</f>
        <v>#REF!</v>
      </c>
    </row>
    <row r="34" spans="1:7" s="59" customFormat="1">
      <c r="A34" s="111"/>
      <c r="D34" s="15"/>
    </row>
    <row r="35" spans="1:7" s="59" customFormat="1">
      <c r="A35" s="111"/>
      <c r="D35" s="15" t="str">
        <f>ИД!$A$8</f>
        <v>Составил</v>
      </c>
      <c r="G35" s="59" t="str">
        <f>ИД!$B$8</f>
        <v>А.В.Исаев</v>
      </c>
    </row>
    <row r="36" spans="1:7" s="59" customFormat="1">
      <c r="A36" s="111"/>
      <c r="D36" s="15"/>
    </row>
    <row r="37" spans="1:7" s="59" customFormat="1">
      <c r="A37" s="111"/>
      <c r="D37" s="15" t="str">
        <f>ИД!$A$9</f>
        <v>Проверил</v>
      </c>
      <c r="E37" s="60"/>
      <c r="G37" s="59" t="str">
        <f>ИД!$B$9</f>
        <v>Н.В.Петров</v>
      </c>
    </row>
    <row r="38" spans="1:7" s="59" customFormat="1">
      <c r="A38" s="111"/>
      <c r="D38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8193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8193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view="pageBreakPreview" zoomScaleNormal="100" zoomScaleSheetLayoutView="100" workbookViewId="0">
      <selection activeCell="A8" sqref="A8"/>
    </sheetView>
  </sheetViews>
  <sheetFormatPr defaultRowHeight="14.25"/>
  <cols>
    <col min="1" max="1" width="58.5703125" style="92" customWidth="1"/>
    <col min="2" max="2" width="16.85546875" style="92" customWidth="1"/>
    <col min="3" max="3" width="11" style="92" customWidth="1"/>
    <col min="4" max="16384" width="9.140625" style="92"/>
  </cols>
  <sheetData>
    <row r="1" spans="1:3">
      <c r="A1" s="98"/>
      <c r="B1" s="99"/>
      <c r="C1" s="100"/>
    </row>
    <row r="2" spans="1:3" ht="28.5">
      <c r="A2" s="98" t="s">
        <v>168</v>
      </c>
      <c r="B2" s="99">
        <f>ССРтек!I58</f>
        <v>555.78</v>
      </c>
      <c r="C2" s="100" t="s">
        <v>109</v>
      </c>
    </row>
    <row r="3" spans="1:3">
      <c r="A3" s="98"/>
      <c r="B3" s="99"/>
      <c r="C3" s="100"/>
    </row>
    <row r="4" spans="1:3" ht="28.5">
      <c r="A4" s="98" t="str">
        <f>CONCATENATE("Сметная стоимость на ",ИД!B11," определилась в размере ")</f>
        <v xml:space="preserve">Сметная стоимость на 1 квартал 2023 г. определилась в размере </v>
      </c>
      <c r="B4" s="99">
        <f>ССРтек!I54</f>
        <v>40957.040000000001</v>
      </c>
      <c r="C4" s="100" t="s">
        <v>53</v>
      </c>
    </row>
    <row r="5" spans="1:3" ht="18" customHeight="1">
      <c r="A5" s="100" t="s">
        <v>51</v>
      </c>
      <c r="B5" s="99">
        <f>ССРтек!E54+ССРтек!F54</f>
        <v>33099.730000000003</v>
      </c>
      <c r="C5" s="100" t="s">
        <v>53</v>
      </c>
    </row>
    <row r="6" spans="1:3">
      <c r="A6" s="100"/>
      <c r="B6" s="99"/>
      <c r="C6" s="100"/>
    </row>
    <row r="7" spans="1:3" ht="28.5">
      <c r="A7" s="98" t="str">
        <f>CONCATENATE("С учетом НДС сметная стоимость на ",ИД!B11," определилась в размере ")</f>
        <v xml:space="preserve">С учетом НДС сметная стоимость на 1 квартал 2023 г. определилась в размере </v>
      </c>
      <c r="B7" s="99">
        <f>ССРтек!I57</f>
        <v>49148.45</v>
      </c>
      <c r="C7" s="100" t="s">
        <v>53</v>
      </c>
    </row>
    <row r="8" spans="1:3" ht="18" customHeight="1">
      <c r="A8" s="100" t="s">
        <v>52</v>
      </c>
      <c r="B8" s="99">
        <f>ССРтек!E57+ССРтек!F57</f>
        <v>39719.68</v>
      </c>
      <c r="C8" s="100" t="s">
        <v>53</v>
      </c>
    </row>
    <row r="9" spans="1:3">
      <c r="A9" s="100"/>
      <c r="B9" s="99"/>
      <c r="C9" s="100"/>
    </row>
    <row r="10" spans="1:3" ht="18" hidden="1" customHeight="1">
      <c r="A10" s="101" t="s">
        <v>134</v>
      </c>
      <c r="B10" s="102">
        <f>B7/ИД!K20</f>
        <v>36730.85</v>
      </c>
      <c r="C10" s="100" t="s">
        <v>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18</vt:i4>
      </vt:variant>
    </vt:vector>
  </HeadingPairs>
  <TitlesOfParts>
    <vt:vector size="26" baseType="lpstr">
      <vt:lpstr>ИД</vt:lpstr>
      <vt:lpstr>ССРтек</vt:lpstr>
      <vt:lpstr>ОС-01-01тек</vt:lpstr>
      <vt:lpstr>ОС-06-01тек</vt:lpstr>
      <vt:lpstr>ССРбаз</vt:lpstr>
      <vt:lpstr>ОС-01-01</vt:lpstr>
      <vt:lpstr>ОС-06-01</vt:lpstr>
      <vt:lpstr>в ПЗ</vt:lpstr>
      <vt:lpstr>'в ПЗ'!Print_Area</vt:lpstr>
      <vt:lpstr>ИД!Print_Area</vt:lpstr>
      <vt:lpstr>'ОС-06-01'!Print_Area</vt:lpstr>
      <vt:lpstr>'ОС-06-01тек'!Print_Area</vt:lpstr>
      <vt:lpstr>ССРбаз!Print_Area</vt:lpstr>
      <vt:lpstr>ССРтек!Print_Area</vt:lpstr>
      <vt:lpstr>ССРбаз!Print_Titles</vt:lpstr>
      <vt:lpstr>ССРтек!Print_Titles</vt:lpstr>
      <vt:lpstr>ССРбаз!Заголовки_для_печати</vt:lpstr>
      <vt:lpstr>ССРтек!Заголовки_для_печати</vt:lpstr>
      <vt:lpstr>'в ПЗ'!Область_печати</vt:lpstr>
      <vt:lpstr>ИД!Область_печати</vt:lpstr>
      <vt:lpstr>'ОС-01-01'!Область_печати</vt:lpstr>
      <vt:lpstr>'ОС-01-01тек'!Область_печати</vt:lpstr>
      <vt:lpstr>'ОС-06-01'!Область_печати</vt:lpstr>
      <vt:lpstr>'ОС-06-01тек'!Область_печати</vt:lpstr>
      <vt:lpstr>ССРбаз!Область_печати</vt:lpstr>
      <vt:lpstr>ССРтек!Область_печати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2023-04-14T07:25:08Z</dcterms:modified>
</cp:coreProperties>
</file>